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Override PartName="/xl/threadedComments/threadedComment2.xml" ContentType="application/vnd.ms-excel.threadedcomments+xml"/>
  <Override PartName="/xl/threadedComments/threadedComment3.xml" ContentType="application/vnd.ms-excel.threadedcomments+xml"/>
  <Override PartName="/xl/threadedComments/threadedComment4.xml" ContentType="application/vnd.ms-excel.threadedcomments+xml"/>
  <Override PartName="/xl/threadedComments/threadedComment5.xml" ContentType="application/vnd.ms-excel.threadedcomments+xml"/>
  <Override PartName="/xl/threadedComments/threadedComment6.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https://fpccq-my.sharepoint.com/personal/rbicaba_pgq_ca/Documents/Bureau/CGQ/"/>
    </mc:Choice>
  </mc:AlternateContent>
  <xr:revisionPtr revIDLastSave="0" documentId="8_{53A31035-1BD0-46F1-A100-3ABCE9328315}" xr6:coauthVersionLast="47" xr6:coauthVersionMax="47" xr10:uidLastSave="{00000000-0000-0000-0000-000000000000}"/>
  <bookViews>
    <workbookView xWindow="-120" yWindow="-120" windowWidth="29040" windowHeight="15840" firstSheet="1" activeTab="17" xr2:uid="{46BA2E5C-FF92-4135-AB58-C749BADE77E8}"/>
  </bookViews>
  <sheets>
    <sheet name="GuideUtilisation" sheetId="1" r:id="rId1"/>
    <sheet name="Saisies" sheetId="2" r:id="rId2"/>
    <sheet name="Gains agronomiques" sheetId="17" state="hidden" r:id="rId3"/>
    <sheet name="Maïs-grain" sheetId="30" r:id="rId4"/>
    <sheet name="Canola" sheetId="12" r:id="rId5"/>
    <sheet name="Soya" sheetId="13" r:id="rId6"/>
    <sheet name="Orge" sheetId="14" r:id="rId7"/>
    <sheet name="Avoine" sheetId="15" r:id="rId8"/>
    <sheet name="Blé_d'automne" sheetId="20" r:id="rId9"/>
    <sheet name="Blé_printemps" sheetId="24" r:id="rId10"/>
    <sheet name="Sarrasin" sheetId="31" r:id="rId11"/>
    <sheet name="Cultures de couverture" sheetId="26" state="hidden" r:id="rId12"/>
    <sheet name="ASRA_Calculs" sheetId="22" state="hidden" r:id="rId13"/>
    <sheet name="Rendements_CECPA" sheetId="4" state="hidden" r:id="rId14"/>
    <sheet name="Prix_CECPA" sheetId="5" state="hidden" r:id="rId15"/>
    <sheet name="Intermédiaire_Prod-Résultats" sheetId="21" state="hidden" r:id="rId16"/>
    <sheet name="Résultats détaillés" sheetId="19" r:id="rId17"/>
    <sheet name="Résultats sommaires" sheetId="32" r:id="rId18"/>
  </sheets>
  <definedNames>
    <definedName name="Prix">Prix_CECPA!$A$2:$B$9</definedName>
    <definedName name="Prix_Titre">Prix_CECPA!$A$2:$B$2</definedName>
    <definedName name="Rend">Rendements_CECPA!$A$2:$B$9</definedName>
    <definedName name="Rend_Titre">Rendements_CECPA!$A$2:$B$2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K16" i="21" l="1"/>
  <c r="BG16" i="21"/>
  <c r="BV27" i="21"/>
  <c r="BV25" i="21"/>
  <c r="BV5" i="21"/>
  <c r="BS27" i="21"/>
  <c r="BS25" i="21"/>
  <c r="BS5" i="21"/>
  <c r="BP27" i="21"/>
  <c r="BP25" i="21"/>
  <c r="BP5" i="21"/>
  <c r="BM27" i="21"/>
  <c r="BM25" i="21"/>
  <c r="BM5" i="21"/>
  <c r="BJ27" i="21"/>
  <c r="BJ25" i="21"/>
  <c r="BJ5" i="21"/>
  <c r="BG27" i="21"/>
  <c r="BG25" i="21"/>
  <c r="BG5" i="21"/>
  <c r="BD27" i="21"/>
  <c r="BD25" i="21"/>
  <c r="BD5" i="21"/>
  <c r="BA27" i="21"/>
  <c r="BA25" i="21"/>
  <c r="BA5" i="21"/>
  <c r="Z27" i="21"/>
  <c r="Z25" i="21"/>
  <c r="Z5" i="21"/>
  <c r="W27" i="21"/>
  <c r="W25" i="21"/>
  <c r="W5" i="21"/>
  <c r="T27" i="21"/>
  <c r="T25" i="21"/>
  <c r="T5" i="21"/>
  <c r="Q27" i="21"/>
  <c r="Q25" i="21"/>
  <c r="Q5" i="21"/>
  <c r="N27" i="21"/>
  <c r="N25" i="21"/>
  <c r="N5" i="21"/>
  <c r="K27" i="21"/>
  <c r="K25" i="21"/>
  <c r="K5" i="21"/>
  <c r="H27" i="21"/>
  <c r="H25" i="21"/>
  <c r="H5" i="21"/>
  <c r="E27" i="21"/>
  <c r="E25" i="21"/>
  <c r="E5" i="21"/>
  <c r="BU27" i="21"/>
  <c r="BU25" i="21"/>
  <c r="BU5" i="21"/>
  <c r="BR27" i="21"/>
  <c r="BR25" i="21"/>
  <c r="BR5" i="21"/>
  <c r="BO27" i="21"/>
  <c r="BO25" i="21"/>
  <c r="BO5" i="21"/>
  <c r="BL27" i="21"/>
  <c r="BL25" i="21"/>
  <c r="BL5" i="21"/>
  <c r="BI27" i="21"/>
  <c r="BI25" i="21"/>
  <c r="BI5" i="21"/>
  <c r="BF27" i="21"/>
  <c r="BF25" i="21"/>
  <c r="BF16" i="21"/>
  <c r="BF5" i="21"/>
  <c r="BC27" i="21"/>
  <c r="BC25" i="21"/>
  <c r="BC5" i="21"/>
  <c r="AZ27" i="21"/>
  <c r="AZ25" i="21"/>
  <c r="AZ5" i="21"/>
  <c r="Y27" i="21"/>
  <c r="Y25" i="21"/>
  <c r="Y5" i="21"/>
  <c r="V27" i="21"/>
  <c r="V25" i="21"/>
  <c r="V5" i="21"/>
  <c r="S27" i="21"/>
  <c r="S25" i="21"/>
  <c r="S5" i="21"/>
  <c r="P27" i="21"/>
  <c r="P25" i="21"/>
  <c r="P5" i="21"/>
  <c r="M27" i="21"/>
  <c r="M25" i="21"/>
  <c r="M5" i="21"/>
  <c r="J27" i="21"/>
  <c r="J25" i="21"/>
  <c r="J16" i="21"/>
  <c r="J5" i="21"/>
  <c r="G27" i="21"/>
  <c r="G25" i="21"/>
  <c r="G5" i="21"/>
  <c r="AE5" i="21"/>
  <c r="D27" i="21"/>
  <c r="D25" i="21"/>
  <c r="D5" i="21"/>
  <c r="AB5" i="21"/>
  <c r="BF15" i="21" l="1"/>
  <c r="BG15" i="21" s="1"/>
  <c r="BF41" i="21"/>
  <c r="BG41" i="21" s="1"/>
  <c r="AH41" i="21"/>
  <c r="AI41" i="21" s="1"/>
  <c r="J41" i="21"/>
  <c r="K41" i="21" s="1"/>
  <c r="BO16" i="21"/>
  <c r="BP16" i="21" s="1"/>
  <c r="BR16" i="21"/>
  <c r="BS16" i="21"/>
  <c r="BS15" i="21"/>
  <c r="BR15" i="21"/>
  <c r="BP15" i="21"/>
  <c r="BO15" i="21"/>
  <c r="AQ16" i="21"/>
  <c r="AR16" i="21"/>
  <c r="AT16" i="21"/>
  <c r="AU16" i="21" s="1"/>
  <c r="AU15" i="21"/>
  <c r="AT15" i="21"/>
  <c r="AR15" i="21"/>
  <c r="AQ15" i="21"/>
  <c r="AH15" i="21"/>
  <c r="AI15" i="21" s="1"/>
  <c r="W15" i="21"/>
  <c r="T15" i="21"/>
  <c r="J15" i="21"/>
  <c r="K15" i="21" s="1"/>
  <c r="V15" i="21"/>
  <c r="S15" i="21"/>
  <c r="A6" i="32"/>
  <c r="A7" i="32"/>
  <c r="A8" i="32"/>
  <c r="A5" i="32"/>
  <c r="A4" i="32"/>
  <c r="A3" i="32"/>
  <c r="P6" i="19"/>
  <c r="P18" i="19" s="1"/>
  <c r="P30" i="19" s="1"/>
  <c r="Q57" i="32" s="1"/>
  <c r="P7" i="19"/>
  <c r="P19" i="19" s="1"/>
  <c r="P31" i="19" s="1"/>
  <c r="Q58" i="32" s="1"/>
  <c r="P8" i="19"/>
  <c r="P20" i="19" s="1"/>
  <c r="P32" i="19" s="1"/>
  <c r="Q59" i="32" s="1"/>
  <c r="P9" i="19"/>
  <c r="P21" i="19" s="1"/>
  <c r="P33" i="19" s="1"/>
  <c r="Q60" i="32" s="1"/>
  <c r="P10" i="19"/>
  <c r="P22" i="19" s="1"/>
  <c r="P34" i="19" s="1"/>
  <c r="Q61" i="32" s="1"/>
  <c r="P5" i="19"/>
  <c r="P17" i="19" s="1"/>
  <c r="P29" i="19" s="1"/>
  <c r="Q56" i="32" s="1"/>
  <c r="A18" i="19"/>
  <c r="A30" i="19" s="1"/>
  <c r="A57" i="32" s="1"/>
  <c r="A19" i="19"/>
  <c r="A31" i="19" s="1"/>
  <c r="A58" i="32" s="1"/>
  <c r="A20" i="19"/>
  <c r="A32" i="19" s="1"/>
  <c r="A59" i="32" s="1"/>
  <c r="A21" i="19"/>
  <c r="A33" i="19" s="1"/>
  <c r="A60" i="32" s="1"/>
  <c r="A22" i="19"/>
  <c r="A34" i="19" s="1"/>
  <c r="A61" i="32" s="1"/>
  <c r="A17" i="19"/>
  <c r="A29" i="19" s="1"/>
  <c r="A56" i="32" s="1"/>
  <c r="D29" i="31"/>
  <c r="D26" i="31"/>
  <c r="D29" i="24"/>
  <c r="D26" i="24"/>
  <c r="D29" i="20"/>
  <c r="D26" i="20"/>
  <c r="D29" i="15"/>
  <c r="D26" i="15"/>
  <c r="D26" i="14"/>
  <c r="D29" i="14"/>
  <c r="D29" i="13"/>
  <c r="D26" i="13"/>
  <c r="D29" i="12"/>
  <c r="D26" i="12"/>
  <c r="B50" i="2"/>
  <c r="B5" i="4"/>
  <c r="Q8" i="32" l="1"/>
  <c r="A28" i="32"/>
  <c r="A32" i="32"/>
  <c r="Q3" i="32"/>
  <c r="Q7" i="32"/>
  <c r="A33" i="32"/>
  <c r="A31" i="32"/>
  <c r="Q6" i="32"/>
  <c r="Q28" i="32"/>
  <c r="A29" i="32"/>
  <c r="Q4" i="32"/>
  <c r="Q29" i="32"/>
  <c r="Q33" i="32"/>
  <c r="A30" i="32"/>
  <c r="Q5" i="32"/>
  <c r="Q30" i="32"/>
  <c r="Q32" i="32"/>
  <c r="Q31" i="32"/>
  <c r="B8" i="4"/>
  <c r="B43" i="2"/>
  <c r="B44" i="2"/>
  <c r="B45" i="2"/>
  <c r="B42" i="2"/>
  <c r="B39" i="2"/>
  <c r="S16" i="21" l="1"/>
  <c r="T16" i="21" s="1"/>
  <c r="BC15" i="21" l="1"/>
  <c r="BD15" i="21" s="1"/>
  <c r="BC16" i="21"/>
  <c r="BD16" i="21" s="1"/>
  <c r="AE16" i="21"/>
  <c r="AF16" i="21" s="1"/>
  <c r="AE15" i="21"/>
  <c r="AF15" i="21" s="1"/>
  <c r="G15" i="21"/>
  <c r="H15" i="21" s="1"/>
  <c r="BU47" i="21"/>
  <c r="BV47" i="21" s="1"/>
  <c r="BU48" i="21"/>
  <c r="BV48" i="21" s="1"/>
  <c r="BU46" i="21"/>
  <c r="BU38" i="21"/>
  <c r="BU39" i="21"/>
  <c r="BV39" i="21" s="1"/>
  <c r="BU40" i="21"/>
  <c r="BV40" i="21" s="1"/>
  <c r="BU41" i="21"/>
  <c r="BV41" i="21" s="1"/>
  <c r="BU37" i="21"/>
  <c r="BV37" i="21" s="1"/>
  <c r="BU32" i="21"/>
  <c r="BV32" i="21" s="1"/>
  <c r="BU31" i="21"/>
  <c r="BV31" i="21" s="1"/>
  <c r="BU28" i="21"/>
  <c r="BV28" i="21" s="1"/>
  <c r="BU26" i="21"/>
  <c r="BV26" i="21" s="1"/>
  <c r="BU20" i="21"/>
  <c r="BV20" i="21" s="1"/>
  <c r="BU21" i="21"/>
  <c r="BV21" i="21" s="1"/>
  <c r="BU22" i="21"/>
  <c r="BV22" i="21" s="1"/>
  <c r="BU23" i="21"/>
  <c r="BV23" i="21" s="1"/>
  <c r="BU24" i="21"/>
  <c r="BV24" i="21" s="1"/>
  <c r="BU19" i="21"/>
  <c r="BV19" i="21" s="1"/>
  <c r="BU16" i="21"/>
  <c r="BV16" i="21" s="1"/>
  <c r="BU17" i="21"/>
  <c r="BV17" i="21" s="1"/>
  <c r="BU18" i="21"/>
  <c r="BV18" i="21" s="1"/>
  <c r="BU15" i="21"/>
  <c r="BV15" i="21" s="1"/>
  <c r="BU7" i="21"/>
  <c r="BV7" i="21" s="1"/>
  <c r="AW47" i="21"/>
  <c r="AX47" i="21" s="1"/>
  <c r="AW48" i="21"/>
  <c r="AX48" i="21" s="1"/>
  <c r="AW46" i="21"/>
  <c r="AW38" i="21"/>
  <c r="AX38" i="21" s="1"/>
  <c r="AW39" i="21"/>
  <c r="AW40" i="21"/>
  <c r="AX40" i="21" s="1"/>
  <c r="AW41" i="21"/>
  <c r="AX41" i="21" s="1"/>
  <c r="AW37" i="21"/>
  <c r="AX37" i="21" s="1"/>
  <c r="AW32" i="21"/>
  <c r="AX32" i="21" s="1"/>
  <c r="AW31" i="21"/>
  <c r="AX31" i="21" s="1"/>
  <c r="AW28" i="21"/>
  <c r="AX28" i="21" s="1"/>
  <c r="AW26" i="21"/>
  <c r="AX26" i="21" s="1"/>
  <c r="AW20" i="21"/>
  <c r="AX20" i="21" s="1"/>
  <c r="AW21" i="21"/>
  <c r="AX21" i="21" s="1"/>
  <c r="AW22" i="21"/>
  <c r="AX22" i="21" s="1"/>
  <c r="AW23" i="21"/>
  <c r="AX23" i="21" s="1"/>
  <c r="AW24" i="21"/>
  <c r="AX24" i="21" s="1"/>
  <c r="AW19" i="21"/>
  <c r="AX19" i="21" s="1"/>
  <c r="AW16" i="21"/>
  <c r="AX16" i="21" s="1"/>
  <c r="AW17" i="21"/>
  <c r="AX17" i="21" s="1"/>
  <c r="AW18" i="21"/>
  <c r="AX18" i="21" s="1"/>
  <c r="AW15" i="21"/>
  <c r="AX15" i="21" s="1"/>
  <c r="AW7" i="21"/>
  <c r="AX7" i="21" s="1"/>
  <c r="Y47" i="21"/>
  <c r="Z47" i="21" s="1"/>
  <c r="Y48" i="21"/>
  <c r="Z48" i="21" s="1"/>
  <c r="Y46" i="21"/>
  <c r="Y38" i="21"/>
  <c r="Z38" i="21" s="1"/>
  <c r="Y39" i="21"/>
  <c r="Z39" i="21" s="1"/>
  <c r="Y40" i="21"/>
  <c r="Z40" i="21" s="1"/>
  <c r="Y41" i="21"/>
  <c r="Z41" i="21" s="1"/>
  <c r="Y37" i="21"/>
  <c r="Y32" i="21"/>
  <c r="Z32" i="21" s="1"/>
  <c r="Y31" i="21"/>
  <c r="Z31" i="21" s="1"/>
  <c r="Y28" i="21"/>
  <c r="Z28" i="21" s="1"/>
  <c r="Y26" i="21"/>
  <c r="Z26" i="21" s="1"/>
  <c r="Y20" i="21"/>
  <c r="Z20" i="21" s="1"/>
  <c r="Y21" i="21"/>
  <c r="Z21" i="21" s="1"/>
  <c r="Y22" i="21"/>
  <c r="Z22" i="21" s="1"/>
  <c r="Y23" i="21"/>
  <c r="Z23" i="21" s="1"/>
  <c r="Y24" i="21"/>
  <c r="Z24" i="21" s="1"/>
  <c r="Y19" i="21"/>
  <c r="Z19" i="21" s="1"/>
  <c r="Y16" i="21"/>
  <c r="Z16" i="21" s="1"/>
  <c r="Y17" i="21"/>
  <c r="Z17" i="21" s="1"/>
  <c r="Y18" i="21"/>
  <c r="Z18" i="21" s="1"/>
  <c r="Y15" i="21"/>
  <c r="Z15" i="21" s="1"/>
  <c r="Y7" i="21"/>
  <c r="Z7" i="21" s="1"/>
  <c r="AW49" i="21" l="1"/>
  <c r="Y49" i="21"/>
  <c r="BU49" i="21"/>
  <c r="Y42" i="21"/>
  <c r="BU42" i="21"/>
  <c r="AW42" i="21"/>
  <c r="BV46" i="21"/>
  <c r="BV49" i="21" s="1"/>
  <c r="AX46" i="21"/>
  <c r="AX49" i="21" s="1"/>
  <c r="BV38" i="21"/>
  <c r="BV42" i="21" s="1"/>
  <c r="AX39" i="21"/>
  <c r="AX42" i="21"/>
  <c r="Z37" i="21"/>
  <c r="Z42" i="21" s="1"/>
  <c r="Z46" i="21"/>
  <c r="Z49" i="21" s="1"/>
  <c r="AZ47" i="21" l="1"/>
  <c r="BA47" i="21" s="1"/>
  <c r="AZ48" i="21"/>
  <c r="AZ46" i="21"/>
  <c r="BA46" i="21" s="1"/>
  <c r="AZ38" i="21"/>
  <c r="BA38" i="21" s="1"/>
  <c r="AZ39" i="21"/>
  <c r="BA39" i="21" s="1"/>
  <c r="AZ40" i="21"/>
  <c r="BA40" i="21" s="1"/>
  <c r="AZ41" i="21"/>
  <c r="AZ37" i="21"/>
  <c r="BA37" i="21" s="1"/>
  <c r="AZ32" i="21"/>
  <c r="BA32" i="21" s="1"/>
  <c r="AZ31" i="21"/>
  <c r="BA31" i="21" s="1"/>
  <c r="AZ28" i="21"/>
  <c r="BA28" i="21" s="1"/>
  <c r="AZ26" i="21"/>
  <c r="BA26" i="21" s="1"/>
  <c r="AZ20" i="21"/>
  <c r="BA20" i="21" s="1"/>
  <c r="AZ21" i="21"/>
  <c r="BA21" i="21" s="1"/>
  <c r="AZ22" i="21"/>
  <c r="BA22" i="21" s="1"/>
  <c r="AZ23" i="21"/>
  <c r="BA23" i="21" s="1"/>
  <c r="AZ24" i="21"/>
  <c r="BA24" i="21" s="1"/>
  <c r="AZ19" i="21"/>
  <c r="BA19" i="21" s="1"/>
  <c r="AZ16" i="21"/>
  <c r="BA16" i="21" s="1"/>
  <c r="AZ17" i="21"/>
  <c r="BA17" i="21" s="1"/>
  <c r="AZ18" i="21"/>
  <c r="BA18" i="21" s="1"/>
  <c r="AZ15" i="21"/>
  <c r="AZ9" i="21"/>
  <c r="BA9" i="21" s="1"/>
  <c r="AZ7" i="21"/>
  <c r="BA7" i="21" s="1"/>
  <c r="AB9" i="21"/>
  <c r="AC9" i="21" s="1"/>
  <c r="D9" i="21"/>
  <c r="E9" i="21" s="1"/>
  <c r="AZ49" i="21" l="1"/>
  <c r="BA48" i="21"/>
  <c r="BA49" i="21" s="1"/>
  <c r="BA15" i="21"/>
  <c r="AZ42" i="21"/>
  <c r="BA41" i="21"/>
  <c r="BA42" i="21" s="1"/>
  <c r="G5" i="31"/>
  <c r="G4" i="31"/>
  <c r="G7" i="31" s="1"/>
  <c r="E5" i="31"/>
  <c r="B28" i="2"/>
  <c r="B15" i="2"/>
  <c r="AX27" i="21" l="1"/>
  <c r="AW27" i="21"/>
  <c r="AW25" i="21"/>
  <c r="AX25" i="21"/>
  <c r="AX29" i="21" s="1"/>
  <c r="Z29" i="21"/>
  <c r="E4" i="31"/>
  <c r="Y6" i="21"/>
  <c r="AW6" i="21"/>
  <c r="BU6" i="21"/>
  <c r="AX6" i="21"/>
  <c r="BV6" i="21"/>
  <c r="Z6" i="21"/>
  <c r="AW5" i="21"/>
  <c r="AX5" i="21"/>
  <c r="BV8" i="21"/>
  <c r="Y8" i="21" l="1"/>
  <c r="E7" i="31"/>
  <c r="H7" i="31" s="1"/>
  <c r="AW29" i="21"/>
  <c r="BU8" i="21"/>
  <c r="Y29" i="21"/>
  <c r="BV29" i="21"/>
  <c r="BU29" i="21"/>
  <c r="AX8" i="21"/>
  <c r="Z8" i="21"/>
  <c r="AW8" i="21"/>
  <c r="G53" i="31"/>
  <c r="E53" i="31"/>
  <c r="H52" i="31"/>
  <c r="H51" i="31"/>
  <c r="H50" i="31"/>
  <c r="G45" i="31"/>
  <c r="E45" i="31"/>
  <c r="H44" i="31"/>
  <c r="H43" i="31"/>
  <c r="H42" i="31"/>
  <c r="H41" i="31"/>
  <c r="H40" i="31"/>
  <c r="H35" i="31"/>
  <c r="H34" i="31"/>
  <c r="G31" i="31"/>
  <c r="E31" i="31"/>
  <c r="H30" i="31"/>
  <c r="H29" i="31"/>
  <c r="H28" i="31"/>
  <c r="G27" i="31"/>
  <c r="E27" i="31"/>
  <c r="H26" i="31"/>
  <c r="H25" i="31"/>
  <c r="H24" i="31"/>
  <c r="H23" i="31"/>
  <c r="H22" i="31"/>
  <c r="H21" i="31"/>
  <c r="H20" i="31"/>
  <c r="G19" i="31"/>
  <c r="E19" i="31"/>
  <c r="H18" i="31"/>
  <c r="H17" i="31"/>
  <c r="H16" i="31"/>
  <c r="H15" i="31"/>
  <c r="G9" i="31"/>
  <c r="H8" i="31"/>
  <c r="H6" i="31"/>
  <c r="H5" i="31"/>
  <c r="H8" i="24"/>
  <c r="H8" i="20"/>
  <c r="H8" i="15"/>
  <c r="H8" i="14"/>
  <c r="H8" i="13"/>
  <c r="H9" i="30"/>
  <c r="G32" i="31" l="1"/>
  <c r="E32" i="31"/>
  <c r="AB47" i="21"/>
  <c r="AC47" i="21" s="1"/>
  <c r="AB48" i="21"/>
  <c r="AC48" i="21" s="1"/>
  <c r="AB46" i="21"/>
  <c r="AC46" i="21" s="1"/>
  <c r="AB38" i="21"/>
  <c r="AC38" i="21" s="1"/>
  <c r="AB39" i="21"/>
  <c r="AC39" i="21" s="1"/>
  <c r="AB40" i="21"/>
  <c r="AC40" i="21" s="1"/>
  <c r="AB41" i="21"/>
  <c r="AC41" i="21" s="1"/>
  <c r="AB37" i="21"/>
  <c r="AC37" i="21" s="1"/>
  <c r="AB32" i="21"/>
  <c r="AC32" i="21" s="1"/>
  <c r="AB31" i="21"/>
  <c r="AC31" i="21" s="1"/>
  <c r="AB28" i="21"/>
  <c r="AC28" i="21" s="1"/>
  <c r="AB26" i="21"/>
  <c r="AC26" i="21" s="1"/>
  <c r="AB20" i="21"/>
  <c r="AC20" i="21" s="1"/>
  <c r="AB21" i="21"/>
  <c r="AC21" i="21" s="1"/>
  <c r="AB22" i="21"/>
  <c r="AC22" i="21" s="1"/>
  <c r="AB23" i="21"/>
  <c r="AC23" i="21" s="1"/>
  <c r="AB24" i="21"/>
  <c r="AC24" i="21" s="1"/>
  <c r="AB19" i="21"/>
  <c r="AC19" i="21" s="1"/>
  <c r="AB16" i="21"/>
  <c r="AC16" i="21" s="1"/>
  <c r="AB17" i="21"/>
  <c r="AC17" i="21" s="1"/>
  <c r="AB18" i="21"/>
  <c r="AC18" i="21" s="1"/>
  <c r="AB15" i="21"/>
  <c r="AC15" i="21" s="1"/>
  <c r="AB7" i="21"/>
  <c r="AC7" i="21" s="1"/>
  <c r="D47" i="21"/>
  <c r="E47" i="21" s="1"/>
  <c r="D48" i="21"/>
  <c r="E48" i="21" s="1"/>
  <c r="D46" i="21"/>
  <c r="E46" i="21" s="1"/>
  <c r="D38" i="21"/>
  <c r="E38" i="21" s="1"/>
  <c r="D39" i="21"/>
  <c r="E39" i="21" s="1"/>
  <c r="D40" i="21"/>
  <c r="D41" i="21"/>
  <c r="E41" i="21" s="1"/>
  <c r="D37" i="21"/>
  <c r="E37" i="21" s="1"/>
  <c r="D32" i="21"/>
  <c r="D31" i="21"/>
  <c r="E31" i="21" s="1"/>
  <c r="D28" i="21"/>
  <c r="E28" i="21" s="1"/>
  <c r="D26" i="21"/>
  <c r="E26" i="21" s="1"/>
  <c r="D20" i="21"/>
  <c r="E20" i="21" s="1"/>
  <c r="D21" i="21"/>
  <c r="E21" i="21" s="1"/>
  <c r="D22" i="21"/>
  <c r="E22" i="21" s="1"/>
  <c r="D23" i="21"/>
  <c r="E23" i="21" s="1"/>
  <c r="D24" i="21"/>
  <c r="E24" i="21" s="1"/>
  <c r="D19" i="21"/>
  <c r="E19" i="21" s="1"/>
  <c r="D16" i="21"/>
  <c r="E16" i="21" s="1"/>
  <c r="D17" i="21"/>
  <c r="E17" i="21" s="1"/>
  <c r="D18" i="21"/>
  <c r="E18" i="21" s="1"/>
  <c r="D15" i="21"/>
  <c r="D7" i="21"/>
  <c r="E7" i="21" s="1"/>
  <c r="D30" i="30"/>
  <c r="D27" i="30"/>
  <c r="E6" i="30"/>
  <c r="B21" i="2"/>
  <c r="AC49" i="21" l="1"/>
  <c r="D6" i="21"/>
  <c r="AZ6" i="21"/>
  <c r="AC42" i="21"/>
  <c r="AB49" i="21"/>
  <c r="G6" i="30"/>
  <c r="H6" i="30" s="1"/>
  <c r="AB6" i="21"/>
  <c r="D49" i="21"/>
  <c r="E15" i="21"/>
  <c r="AB42" i="21"/>
  <c r="E49" i="21"/>
  <c r="D42" i="21"/>
  <c r="E40" i="21"/>
  <c r="E42" i="21" s="1"/>
  <c r="E32" i="21"/>
  <c r="B3" i="4"/>
  <c r="B8" i="2" s="1"/>
  <c r="G54" i="30"/>
  <c r="E54" i="30"/>
  <c r="H53" i="30"/>
  <c r="H52" i="30"/>
  <c r="H51" i="30"/>
  <c r="G46" i="30"/>
  <c r="E46" i="30"/>
  <c r="H45" i="30"/>
  <c r="H44" i="30"/>
  <c r="H43" i="30"/>
  <c r="H42" i="30"/>
  <c r="H41" i="30"/>
  <c r="H36" i="30"/>
  <c r="H35" i="30"/>
  <c r="H34" i="30"/>
  <c r="G32" i="30"/>
  <c r="H31" i="30"/>
  <c r="H30" i="30"/>
  <c r="E32" i="30"/>
  <c r="H29" i="30"/>
  <c r="G28" i="30"/>
  <c r="H27" i="30"/>
  <c r="E27" i="30"/>
  <c r="H26" i="30"/>
  <c r="H25" i="30"/>
  <c r="H24" i="30"/>
  <c r="H23" i="30"/>
  <c r="H22" i="30"/>
  <c r="H21" i="30"/>
  <c r="G20" i="30"/>
  <c r="E20" i="30"/>
  <c r="H19" i="30"/>
  <c r="H18" i="30"/>
  <c r="H17" i="30"/>
  <c r="H16" i="30"/>
  <c r="H7" i="30"/>
  <c r="AC27" i="21" l="1"/>
  <c r="AC25" i="21"/>
  <c r="AB27" i="21"/>
  <c r="AB25" i="21"/>
  <c r="AZ29" i="21"/>
  <c r="E6" i="21"/>
  <c r="BA6" i="21"/>
  <c r="AC6" i="21"/>
  <c r="G5" i="30"/>
  <c r="E5" i="30"/>
  <c r="G33" i="30"/>
  <c r="E28" i="30"/>
  <c r="E33" i="30" s="1"/>
  <c r="G8" i="30" l="1"/>
  <c r="BA29" i="21"/>
  <c r="AC29" i="21"/>
  <c r="AB29" i="21"/>
  <c r="E8" i="30"/>
  <c r="E10" i="30" s="1"/>
  <c r="E12" i="30" s="1"/>
  <c r="E38" i="30" s="1"/>
  <c r="E48" i="30" s="1"/>
  <c r="E56" i="30" s="1"/>
  <c r="E8" i="21"/>
  <c r="BA8" i="21"/>
  <c r="BA11" i="21" s="1"/>
  <c r="BA34" i="21" s="1"/>
  <c r="AC5" i="21"/>
  <c r="D8" i="21"/>
  <c r="E29" i="21"/>
  <c r="D29" i="21"/>
  <c r="H5" i="30"/>
  <c r="H51" i="24"/>
  <c r="H52" i="24"/>
  <c r="H50" i="24"/>
  <c r="H41" i="24"/>
  <c r="H42" i="24"/>
  <c r="H43" i="24"/>
  <c r="H44" i="24"/>
  <c r="H40" i="24"/>
  <c r="H35" i="24"/>
  <c r="H34" i="24"/>
  <c r="H16" i="24"/>
  <c r="H17" i="24"/>
  <c r="H18" i="24"/>
  <c r="H20" i="24"/>
  <c r="H21" i="24"/>
  <c r="H22" i="24"/>
  <c r="H23" i="24"/>
  <c r="H24" i="24"/>
  <c r="H25" i="24"/>
  <c r="H26" i="24"/>
  <c r="H28" i="24"/>
  <c r="H29" i="24"/>
  <c r="H30" i="24"/>
  <c r="H15" i="24"/>
  <c r="H6" i="24"/>
  <c r="H51" i="20"/>
  <c r="H52" i="20"/>
  <c r="H50" i="20"/>
  <c r="H41" i="20"/>
  <c r="H42" i="20"/>
  <c r="H43" i="20"/>
  <c r="H44" i="20"/>
  <c r="H40" i="20"/>
  <c r="H35" i="20"/>
  <c r="H34" i="20"/>
  <c r="H16" i="20"/>
  <c r="H17" i="20"/>
  <c r="H18" i="20"/>
  <c r="H20" i="20"/>
  <c r="H21" i="20"/>
  <c r="H22" i="20"/>
  <c r="H23" i="20"/>
  <c r="H24" i="20"/>
  <c r="H25" i="20"/>
  <c r="H26" i="20"/>
  <c r="H28" i="20"/>
  <c r="H29" i="20"/>
  <c r="H30" i="20"/>
  <c r="H15" i="20"/>
  <c r="H6" i="20"/>
  <c r="H51" i="15"/>
  <c r="H52" i="15"/>
  <c r="H50" i="15"/>
  <c r="H41" i="15"/>
  <c r="H42" i="15"/>
  <c r="H43" i="15"/>
  <c r="H44" i="15"/>
  <c r="H40" i="15"/>
  <c r="H35" i="15"/>
  <c r="H34" i="15"/>
  <c r="H16" i="15"/>
  <c r="H17" i="15"/>
  <c r="H18" i="15"/>
  <c r="H20" i="15"/>
  <c r="H21" i="15"/>
  <c r="H22" i="15"/>
  <c r="H23" i="15"/>
  <c r="H24" i="15"/>
  <c r="H25" i="15"/>
  <c r="H26" i="15"/>
  <c r="H28" i="15"/>
  <c r="H29" i="15"/>
  <c r="H30" i="15"/>
  <c r="H15" i="15"/>
  <c r="H6" i="15"/>
  <c r="H51" i="14"/>
  <c r="H52" i="14"/>
  <c r="H50" i="14"/>
  <c r="H41" i="14"/>
  <c r="H42" i="14"/>
  <c r="H43" i="14"/>
  <c r="H44" i="14"/>
  <c r="H40" i="14"/>
  <c r="H35" i="14"/>
  <c r="H34" i="14"/>
  <c r="H16" i="14"/>
  <c r="H17" i="14"/>
  <c r="H18" i="14"/>
  <c r="H20" i="14"/>
  <c r="H21" i="14"/>
  <c r="H22" i="14"/>
  <c r="H23" i="14"/>
  <c r="H24" i="14"/>
  <c r="H25" i="14"/>
  <c r="H26" i="14"/>
  <c r="H28" i="14"/>
  <c r="H29" i="14"/>
  <c r="H30" i="14"/>
  <c r="H15" i="14"/>
  <c r="H6" i="14"/>
  <c r="H51" i="13"/>
  <c r="H52" i="13"/>
  <c r="H50" i="13"/>
  <c r="H41" i="13"/>
  <c r="H42" i="13"/>
  <c r="H43" i="13"/>
  <c r="H44" i="13"/>
  <c r="H40" i="13"/>
  <c r="H35" i="13"/>
  <c r="H34" i="13"/>
  <c r="H16" i="13"/>
  <c r="H17" i="13"/>
  <c r="H18" i="13"/>
  <c r="H20" i="13"/>
  <c r="H21" i="13"/>
  <c r="H22" i="13"/>
  <c r="H23" i="13"/>
  <c r="H24" i="13"/>
  <c r="H25" i="13"/>
  <c r="H26" i="13"/>
  <c r="H28" i="13"/>
  <c r="H29" i="13"/>
  <c r="H30" i="13"/>
  <c r="H15" i="13"/>
  <c r="H6" i="13"/>
  <c r="H51" i="12"/>
  <c r="H52" i="12"/>
  <c r="H50" i="12"/>
  <c r="H41" i="12"/>
  <c r="H42" i="12"/>
  <c r="H43" i="12"/>
  <c r="H44" i="12"/>
  <c r="H40" i="12"/>
  <c r="H35" i="12"/>
  <c r="H34" i="12"/>
  <c r="H16" i="12"/>
  <c r="H17" i="12"/>
  <c r="H18" i="12"/>
  <c r="H20" i="12"/>
  <c r="H21" i="12"/>
  <c r="H22" i="12"/>
  <c r="H23" i="12"/>
  <c r="H24" i="12"/>
  <c r="H25" i="12"/>
  <c r="H26" i="12"/>
  <c r="H28" i="12"/>
  <c r="H29" i="12"/>
  <c r="H30" i="12"/>
  <c r="H15" i="12"/>
  <c r="H6" i="12"/>
  <c r="H8" i="30" l="1"/>
  <c r="G10" i="30"/>
  <c r="G12" i="30" s="1"/>
  <c r="G38" i="30" s="1"/>
  <c r="G48" i="30" s="1"/>
  <c r="G56" i="30" s="1"/>
  <c r="BA44" i="21"/>
  <c r="W5" i="19"/>
  <c r="W6" i="19"/>
  <c r="AZ8" i="21"/>
  <c r="AZ11" i="21" s="1"/>
  <c r="AZ34" i="21" s="1"/>
  <c r="E11" i="21"/>
  <c r="E34" i="21" s="1"/>
  <c r="AC8" i="21"/>
  <c r="AC11" i="21" s="1"/>
  <c r="AC34" i="21" s="1"/>
  <c r="AB8" i="21"/>
  <c r="AB11" i="21" s="1"/>
  <c r="AB34" i="21" s="1"/>
  <c r="D11" i="21"/>
  <c r="D34" i="21" s="1"/>
  <c r="E31" i="24"/>
  <c r="E27" i="24"/>
  <c r="E19" i="24"/>
  <c r="E19" i="20"/>
  <c r="E27" i="20"/>
  <c r="E31" i="20"/>
  <c r="E31" i="15"/>
  <c r="E27" i="15"/>
  <c r="E19" i="15"/>
  <c r="E19" i="14"/>
  <c r="E27" i="14"/>
  <c r="E31" i="14"/>
  <c r="E19" i="13"/>
  <c r="E27" i="13"/>
  <c r="E31" i="13"/>
  <c r="E19" i="12"/>
  <c r="E27" i="12"/>
  <c r="E31" i="12"/>
  <c r="BA51" i="21" l="1"/>
  <c r="W18" i="19"/>
  <c r="W17" i="19"/>
  <c r="AC44" i="21"/>
  <c r="T6" i="19"/>
  <c r="T5" i="19"/>
  <c r="E44" i="21"/>
  <c r="Q5" i="19"/>
  <c r="Q6" i="19"/>
  <c r="D44" i="21"/>
  <c r="B5" i="19"/>
  <c r="B6" i="19"/>
  <c r="AB44" i="21"/>
  <c r="E5" i="19"/>
  <c r="E6" i="19"/>
  <c r="AZ44" i="21"/>
  <c r="H6" i="19"/>
  <c r="H5" i="19"/>
  <c r="E32" i="13"/>
  <c r="E32" i="12"/>
  <c r="E32" i="24"/>
  <c r="E32" i="20"/>
  <c r="E32" i="15"/>
  <c r="E32" i="14"/>
  <c r="E51" i="21" l="1"/>
  <c r="Q18" i="19"/>
  <c r="Q17" i="19"/>
  <c r="AC51" i="21"/>
  <c r="T18" i="19"/>
  <c r="T17" i="19"/>
  <c r="W30" i="19"/>
  <c r="W29" i="19"/>
  <c r="AZ51" i="21"/>
  <c r="H18" i="19"/>
  <c r="H17" i="19"/>
  <c r="AB51" i="21"/>
  <c r="E18" i="19"/>
  <c r="E17" i="19"/>
  <c r="D51" i="21"/>
  <c r="B18" i="19"/>
  <c r="B17" i="19"/>
  <c r="E35" i="24"/>
  <c r="E35" i="20"/>
  <c r="E5" i="20"/>
  <c r="Q29" i="19" l="1"/>
  <c r="Q30" i="19"/>
  <c r="T30" i="19"/>
  <c r="T29" i="19"/>
  <c r="B30" i="19"/>
  <c r="B29" i="19"/>
  <c r="E30" i="19"/>
  <c r="E29" i="19"/>
  <c r="H29" i="19"/>
  <c r="H30" i="19"/>
  <c r="E35" i="14"/>
  <c r="G11" i="31" l="1"/>
  <c r="G37" i="31" s="1"/>
  <c r="G47" i="31" s="1"/>
  <c r="G55" i="31" s="1"/>
  <c r="H4" i="31"/>
  <c r="G5" i="12"/>
  <c r="E5" i="12"/>
  <c r="Y9" i="21" l="1"/>
  <c r="AW9" i="21"/>
  <c r="BU9" i="21"/>
  <c r="E9" i="31"/>
  <c r="E11" i="31" s="1"/>
  <c r="E37" i="31" s="1"/>
  <c r="E47" i="31" s="1"/>
  <c r="E55" i="31" s="1"/>
  <c r="H5" i="12"/>
  <c r="BV9" i="21" l="1"/>
  <c r="BV11" i="21" s="1"/>
  <c r="BV34" i="21" s="1"/>
  <c r="BU11" i="21"/>
  <c r="BU34" i="21" s="1"/>
  <c r="AX9" i="21"/>
  <c r="AX11" i="21" s="1"/>
  <c r="AX34" i="21" s="1"/>
  <c r="AW11" i="21"/>
  <c r="AW34" i="21" s="1"/>
  <c r="Z9" i="21"/>
  <c r="Z11" i="21" s="1"/>
  <c r="Z34" i="21" s="1"/>
  <c r="Y11" i="21"/>
  <c r="Y34" i="21" s="1"/>
  <c r="AW44" i="21" l="1"/>
  <c r="AX44" i="21"/>
  <c r="Y44" i="21"/>
  <c r="BU44" i="21"/>
  <c r="Z44" i="21"/>
  <c r="BV44" i="21"/>
  <c r="BU51" i="21" l="1"/>
  <c r="Y51" i="21"/>
  <c r="BV51" i="21"/>
  <c r="AX51" i="21"/>
  <c r="Z51" i="21"/>
  <c r="AW51" i="21"/>
  <c r="B27" i="2" l="1"/>
  <c r="B26" i="2"/>
  <c r="B25" i="2"/>
  <c r="B24" i="2"/>
  <c r="B23" i="2"/>
  <c r="B22" i="2"/>
  <c r="B13" i="2"/>
  <c r="B12" i="2"/>
  <c r="B11" i="2"/>
  <c r="B10" i="2"/>
  <c r="AH25" i="21" s="1"/>
  <c r="B9" i="2"/>
  <c r="BR48" i="21"/>
  <c r="BR47" i="21"/>
  <c r="BR46" i="21"/>
  <c r="BR41" i="21"/>
  <c r="BR40" i="21"/>
  <c r="BR39" i="21"/>
  <c r="BR38" i="21"/>
  <c r="BR37" i="21"/>
  <c r="BR32" i="21"/>
  <c r="BR31" i="21"/>
  <c r="BR28" i="21"/>
  <c r="BR26" i="21"/>
  <c r="BR24" i="21"/>
  <c r="BR23" i="21"/>
  <c r="BR22" i="21"/>
  <c r="BR21" i="21"/>
  <c r="BR20" i="21"/>
  <c r="BR19" i="21"/>
  <c r="BR18" i="21"/>
  <c r="BR17" i="21"/>
  <c r="BR7" i="21"/>
  <c r="BO48" i="21"/>
  <c r="BO47" i="21"/>
  <c r="BO46" i="21"/>
  <c r="BO41" i="21"/>
  <c r="BO40" i="21"/>
  <c r="BO39" i="21"/>
  <c r="BO38" i="21"/>
  <c r="BO37" i="21"/>
  <c r="BO32" i="21"/>
  <c r="BO31" i="21"/>
  <c r="BO28" i="21"/>
  <c r="BO26" i="21"/>
  <c r="BO24" i="21"/>
  <c r="BO23" i="21"/>
  <c r="BO22" i="21"/>
  <c r="BO21" i="21"/>
  <c r="BO20" i="21"/>
  <c r="BO19" i="21"/>
  <c r="BO18" i="21"/>
  <c r="BO17" i="21"/>
  <c r="BO7" i="21"/>
  <c r="BO6" i="21"/>
  <c r="BL48" i="21"/>
  <c r="BL47" i="21"/>
  <c r="BL46" i="21"/>
  <c r="BL41" i="21"/>
  <c r="BL40" i="21"/>
  <c r="BL39" i="21"/>
  <c r="BL38" i="21"/>
  <c r="BL37" i="21"/>
  <c r="BL32" i="21"/>
  <c r="BL31" i="21"/>
  <c r="BL28" i="21"/>
  <c r="BL26" i="21"/>
  <c r="BL24" i="21"/>
  <c r="BL23" i="21"/>
  <c r="BL22" i="21"/>
  <c r="BL21" i="21"/>
  <c r="BL20" i="21"/>
  <c r="BL19" i="21"/>
  <c r="BL18" i="21"/>
  <c r="BL17" i="21"/>
  <c r="BL16" i="21"/>
  <c r="BL15" i="21"/>
  <c r="BL7" i="21"/>
  <c r="BI48" i="21"/>
  <c r="BI47" i="21"/>
  <c r="BI46" i="21"/>
  <c r="BI41" i="21"/>
  <c r="BI40" i="21"/>
  <c r="BI39" i="21"/>
  <c r="BI38" i="21"/>
  <c r="BI37" i="21"/>
  <c r="BI32" i="21"/>
  <c r="BI31" i="21"/>
  <c r="BI28" i="21"/>
  <c r="BI26" i="21"/>
  <c r="BI24" i="21"/>
  <c r="BI23" i="21"/>
  <c r="BI22" i="21"/>
  <c r="BI21" i="21"/>
  <c r="BI20" i="21"/>
  <c r="BI19" i="21"/>
  <c r="BI18" i="21"/>
  <c r="BI17" i="21"/>
  <c r="BI16" i="21"/>
  <c r="BI15" i="21"/>
  <c r="BI7" i="21"/>
  <c r="BF48" i="21"/>
  <c r="BF47" i="21"/>
  <c r="BF46" i="21"/>
  <c r="BF40" i="21"/>
  <c r="BF39" i="21"/>
  <c r="BF38" i="21"/>
  <c r="BF37" i="21"/>
  <c r="BF32" i="21"/>
  <c r="BF31" i="21"/>
  <c r="BF28" i="21"/>
  <c r="BF26" i="21"/>
  <c r="BF24" i="21"/>
  <c r="BF23" i="21"/>
  <c r="BF22" i="21"/>
  <c r="BF21" i="21"/>
  <c r="BF20" i="21"/>
  <c r="BF19" i="21"/>
  <c r="BF18" i="21"/>
  <c r="BF17" i="21"/>
  <c r="BF7" i="21"/>
  <c r="BC48" i="21"/>
  <c r="BC47" i="21"/>
  <c r="BC46" i="21"/>
  <c r="BC41" i="21"/>
  <c r="BC40" i="21"/>
  <c r="BC39" i="21"/>
  <c r="BC38" i="21"/>
  <c r="BC37" i="21"/>
  <c r="BC32" i="21"/>
  <c r="BC31" i="21"/>
  <c r="BC28" i="21"/>
  <c r="BC26" i="21"/>
  <c r="BC24" i="21"/>
  <c r="BC23" i="21"/>
  <c r="BC22" i="21"/>
  <c r="BC21" i="21"/>
  <c r="BC20" i="21"/>
  <c r="BC19" i="21"/>
  <c r="BC18" i="21"/>
  <c r="BC17" i="21"/>
  <c r="BC7" i="21"/>
  <c r="AT48" i="21"/>
  <c r="AT47" i="21"/>
  <c r="AT46" i="21"/>
  <c r="AT41" i="21"/>
  <c r="AT40" i="21"/>
  <c r="AT39" i="21"/>
  <c r="AT38" i="21"/>
  <c r="AT37" i="21"/>
  <c r="AT32" i="21"/>
  <c r="AT31" i="21"/>
  <c r="AT28" i="21"/>
  <c r="AT26" i="21"/>
  <c r="AT24" i="21"/>
  <c r="AT23" i="21"/>
  <c r="AT22" i="21"/>
  <c r="AT21" i="21"/>
  <c r="AT20" i="21"/>
  <c r="AT19" i="21"/>
  <c r="AT18" i="21"/>
  <c r="AT17" i="21"/>
  <c r="AT7" i="21"/>
  <c r="AQ48" i="21"/>
  <c r="AQ47" i="21"/>
  <c r="AQ46" i="21"/>
  <c r="AQ41" i="21"/>
  <c r="AQ40" i="21"/>
  <c r="AQ39" i="21"/>
  <c r="AQ38" i="21"/>
  <c r="AQ37" i="21"/>
  <c r="AQ32" i="21"/>
  <c r="AQ31" i="21"/>
  <c r="AQ28" i="21"/>
  <c r="AQ26" i="21"/>
  <c r="AQ24" i="21"/>
  <c r="AQ23" i="21"/>
  <c r="AQ22" i="21"/>
  <c r="AQ21" i="21"/>
  <c r="AQ20" i="21"/>
  <c r="AQ19" i="21"/>
  <c r="AQ18" i="21"/>
  <c r="AQ17" i="21"/>
  <c r="AQ7" i="21"/>
  <c r="AR7" i="21" s="1"/>
  <c r="AQ6" i="21"/>
  <c r="AN48" i="21"/>
  <c r="AN47" i="21"/>
  <c r="AN46" i="21"/>
  <c r="AN41" i="21"/>
  <c r="AN40" i="21"/>
  <c r="AN39" i="21"/>
  <c r="AN38" i="21"/>
  <c r="AN37" i="21"/>
  <c r="AN32" i="21"/>
  <c r="AN31" i="21"/>
  <c r="AN28" i="21"/>
  <c r="AN26" i="21"/>
  <c r="AN24" i="21"/>
  <c r="AN23" i="21"/>
  <c r="AN22" i="21"/>
  <c r="AN21" i="21"/>
  <c r="AN20" i="21"/>
  <c r="AN19" i="21"/>
  <c r="AN18" i="21"/>
  <c r="AN17" i="21"/>
  <c r="AN16" i="21"/>
  <c r="AN15" i="21"/>
  <c r="AN7" i="21"/>
  <c r="AK48" i="21"/>
  <c r="AK47" i="21"/>
  <c r="AK46" i="21"/>
  <c r="AK41" i="21"/>
  <c r="AK40" i="21"/>
  <c r="AK39" i="21"/>
  <c r="AK38" i="21"/>
  <c r="AK37" i="21"/>
  <c r="AK32" i="21"/>
  <c r="AK31" i="21"/>
  <c r="AK28" i="21"/>
  <c r="AK26" i="21"/>
  <c r="AK24" i="21"/>
  <c r="AK23" i="21"/>
  <c r="AK22" i="21"/>
  <c r="AK21" i="21"/>
  <c r="AK20" i="21"/>
  <c r="AK19" i="21"/>
  <c r="AK18" i="21"/>
  <c r="AK17" i="21"/>
  <c r="AK16" i="21"/>
  <c r="AK15" i="21"/>
  <c r="AK7" i="21"/>
  <c r="AH48" i="21"/>
  <c r="AH47" i="21"/>
  <c r="AH46" i="21"/>
  <c r="AH40" i="21"/>
  <c r="AH39" i="21"/>
  <c r="AH38" i="21"/>
  <c r="AH37" i="21"/>
  <c r="AH32" i="21"/>
  <c r="AH31" i="21"/>
  <c r="AH28" i="21"/>
  <c r="AH26" i="21"/>
  <c r="AH24" i="21"/>
  <c r="AH23" i="21"/>
  <c r="AH22" i="21"/>
  <c r="AH21" i="21"/>
  <c r="AH20" i="21"/>
  <c r="AH19" i="21"/>
  <c r="AH18" i="21"/>
  <c r="AH17" i="21"/>
  <c r="AH7" i="21"/>
  <c r="AE48" i="21"/>
  <c r="AE47" i="21"/>
  <c r="AE46" i="21"/>
  <c r="AE41" i="21"/>
  <c r="AE40" i="21"/>
  <c r="AE39" i="21"/>
  <c r="AE38" i="21"/>
  <c r="AE37" i="21"/>
  <c r="AE32" i="21"/>
  <c r="AE31" i="21"/>
  <c r="AE28" i="21"/>
  <c r="AE26" i="21"/>
  <c r="AE24" i="21"/>
  <c r="AE23" i="21"/>
  <c r="AE22" i="21"/>
  <c r="AE21" i="21"/>
  <c r="AE20" i="21"/>
  <c r="AE19" i="21"/>
  <c r="AE18" i="21"/>
  <c r="AE17" i="21"/>
  <c r="AE7" i="21"/>
  <c r="V48" i="21"/>
  <c r="V47" i="21"/>
  <c r="V46" i="21"/>
  <c r="V41" i="21"/>
  <c r="V40" i="21"/>
  <c r="V39" i="21"/>
  <c r="V38" i="21"/>
  <c r="V37" i="21"/>
  <c r="V32" i="21"/>
  <c r="V31" i="21"/>
  <c r="V28" i="21"/>
  <c r="V26" i="21"/>
  <c r="V24" i="21"/>
  <c r="V23" i="21"/>
  <c r="V22" i="21"/>
  <c r="V21" i="21"/>
  <c r="V20" i="21"/>
  <c r="V19" i="21"/>
  <c r="V18" i="21"/>
  <c r="V17" i="21"/>
  <c r="V16" i="21"/>
  <c r="V7" i="21"/>
  <c r="S48" i="21"/>
  <c r="S47" i="21"/>
  <c r="S46" i="21"/>
  <c r="S41" i="21"/>
  <c r="S40" i="21"/>
  <c r="S39" i="21"/>
  <c r="S38" i="21"/>
  <c r="S37" i="21"/>
  <c r="S32" i="21"/>
  <c r="S31" i="21"/>
  <c r="S28" i="21"/>
  <c r="S26" i="21"/>
  <c r="S24" i="21"/>
  <c r="S23" i="21"/>
  <c r="S22" i="21"/>
  <c r="S21" i="21"/>
  <c r="S20" i="21"/>
  <c r="S19" i="21"/>
  <c r="S18" i="21"/>
  <c r="S17" i="21"/>
  <c r="S7" i="21"/>
  <c r="S6" i="21"/>
  <c r="P48" i="21"/>
  <c r="P47" i="21"/>
  <c r="P46" i="21"/>
  <c r="P41" i="21"/>
  <c r="P40" i="21"/>
  <c r="P39" i="21"/>
  <c r="P38" i="21"/>
  <c r="P37" i="21"/>
  <c r="P32" i="21"/>
  <c r="P31" i="21"/>
  <c r="P28" i="21"/>
  <c r="P26" i="21"/>
  <c r="P24" i="21"/>
  <c r="P23" i="21"/>
  <c r="P22" i="21"/>
  <c r="P21" i="21"/>
  <c r="P20" i="21"/>
  <c r="P19" i="21"/>
  <c r="P18" i="21"/>
  <c r="P17" i="21"/>
  <c r="P16" i="21"/>
  <c r="P15" i="21"/>
  <c r="P7" i="21"/>
  <c r="M48" i="21"/>
  <c r="M47" i="21"/>
  <c r="M46" i="21"/>
  <c r="M41" i="21"/>
  <c r="M40" i="21"/>
  <c r="M39" i="21"/>
  <c r="M38" i="21"/>
  <c r="M37" i="21"/>
  <c r="M32" i="21"/>
  <c r="M31" i="21"/>
  <c r="M28" i="21"/>
  <c r="M26" i="21"/>
  <c r="M24" i="21"/>
  <c r="M23" i="21"/>
  <c r="M22" i="21"/>
  <c r="M21" i="21"/>
  <c r="M20" i="21"/>
  <c r="M19" i="21"/>
  <c r="M18" i="21"/>
  <c r="M17" i="21"/>
  <c r="M16" i="21"/>
  <c r="M15" i="21"/>
  <c r="M7" i="21"/>
  <c r="J48" i="21"/>
  <c r="J47" i="21"/>
  <c r="J46" i="21"/>
  <c r="J40" i="21"/>
  <c r="J39" i="21"/>
  <c r="J38" i="21"/>
  <c r="J37" i="21"/>
  <c r="J32" i="21"/>
  <c r="J31" i="21"/>
  <c r="J28" i="21"/>
  <c r="J26" i="21"/>
  <c r="J24" i="21"/>
  <c r="J23" i="21"/>
  <c r="J22" i="21"/>
  <c r="J21" i="21"/>
  <c r="J20" i="21"/>
  <c r="J19" i="21"/>
  <c r="J18" i="21"/>
  <c r="J17" i="21"/>
  <c r="J7" i="21"/>
  <c r="G48" i="21"/>
  <c r="G47" i="21"/>
  <c r="G46" i="21"/>
  <c r="G41" i="21"/>
  <c r="G40" i="21"/>
  <c r="G39" i="21"/>
  <c r="G38" i="21"/>
  <c r="G37" i="21"/>
  <c r="G32" i="21"/>
  <c r="G31" i="21"/>
  <c r="G28" i="21"/>
  <c r="G26" i="21"/>
  <c r="G24" i="21"/>
  <c r="G23" i="21"/>
  <c r="G22" i="21"/>
  <c r="G21" i="21"/>
  <c r="G20" i="21"/>
  <c r="G19" i="21"/>
  <c r="G18" i="21"/>
  <c r="G17" i="21"/>
  <c r="G16" i="21"/>
  <c r="G7" i="21"/>
  <c r="G31" i="20"/>
  <c r="G27" i="20"/>
  <c r="G19" i="20"/>
  <c r="G31" i="24"/>
  <c r="G27" i="24"/>
  <c r="G19" i="24"/>
  <c r="G31" i="15"/>
  <c r="G27" i="15"/>
  <c r="G19" i="15"/>
  <c r="G31" i="14"/>
  <c r="G27" i="14"/>
  <c r="G31" i="13"/>
  <c r="G27" i="13"/>
  <c r="G19" i="13"/>
  <c r="G31" i="12"/>
  <c r="G27" i="12"/>
  <c r="G19" i="12"/>
  <c r="E4" i="14" l="1"/>
  <c r="BI8" i="21" s="1"/>
  <c r="G32" i="24"/>
  <c r="G32" i="20"/>
  <c r="G32" i="15"/>
  <c r="G32" i="13"/>
  <c r="E4" i="13"/>
  <c r="AH5" i="21" s="1"/>
  <c r="AH8" i="21" s="1"/>
  <c r="E4" i="12"/>
  <c r="G8" i="21" s="1"/>
  <c r="AE25" i="21"/>
  <c r="AO27" i="21"/>
  <c r="AO25" i="21"/>
  <c r="AN27" i="21"/>
  <c r="AN25" i="21"/>
  <c r="AI27" i="21"/>
  <c r="AI25" i="21"/>
  <c r="AH27" i="21"/>
  <c r="AU27" i="21"/>
  <c r="AU25" i="21"/>
  <c r="AT27" i="21"/>
  <c r="AT25" i="21"/>
  <c r="AF25" i="21"/>
  <c r="AF27" i="21"/>
  <c r="E4" i="15"/>
  <c r="E7" i="15" s="1"/>
  <c r="AE27" i="21"/>
  <c r="AL25" i="21"/>
  <c r="AK27" i="21"/>
  <c r="AK25" i="21"/>
  <c r="AL27" i="21"/>
  <c r="E4" i="24"/>
  <c r="G32" i="12"/>
  <c r="AK5" i="21" l="1"/>
  <c r="AK8" i="21" s="1"/>
  <c r="M8" i="21"/>
  <c r="E7" i="14"/>
  <c r="AT5" i="21"/>
  <c r="E7" i="24"/>
  <c r="BC8" i="21"/>
  <c r="E7" i="12"/>
  <c r="E9" i="15"/>
  <c r="J8" i="21"/>
  <c r="E7" i="13"/>
  <c r="BF8" i="21"/>
  <c r="AE8" i="21"/>
  <c r="BL8" i="21"/>
  <c r="AN5" i="21"/>
  <c r="AN8" i="21" s="1"/>
  <c r="P8" i="21"/>
  <c r="G19" i="14"/>
  <c r="G32" i="14" s="1"/>
  <c r="BP3" i="21"/>
  <c r="E9" i="14" l="1"/>
  <c r="BI9" i="21"/>
  <c r="BJ9" i="21" s="1"/>
  <c r="AK9" i="21"/>
  <c r="AL9" i="21" s="1"/>
  <c r="M9" i="21"/>
  <c r="N9" i="21" s="1"/>
  <c r="BL9" i="21"/>
  <c r="BM9" i="21" s="1"/>
  <c r="AN9" i="21"/>
  <c r="AO9" i="21" s="1"/>
  <c r="P9" i="21"/>
  <c r="Q9" i="21" s="1"/>
  <c r="AR3" i="21"/>
  <c r="B51" i="2"/>
  <c r="AH16" i="21" l="1"/>
  <c r="AI16" i="21" s="1"/>
  <c r="E9" i="24"/>
  <c r="BR9" i="21"/>
  <c r="BS9" i="21" s="1"/>
  <c r="AT9" i="21"/>
  <c r="AU9" i="21" s="1"/>
  <c r="V9" i="21"/>
  <c r="W9" i="21" s="1"/>
  <c r="E9" i="13"/>
  <c r="BF9" i="21"/>
  <c r="BG9" i="21" s="1"/>
  <c r="AH9" i="21"/>
  <c r="AI9" i="21" s="1"/>
  <c r="J9" i="21"/>
  <c r="K9" i="21" s="1"/>
  <c r="E9" i="12"/>
  <c r="BC9" i="21"/>
  <c r="BD9" i="21" s="1"/>
  <c r="AE9" i="21"/>
  <c r="AF9" i="21" s="1"/>
  <c r="G9" i="21"/>
  <c r="H9" i="21" s="1"/>
  <c r="D5" i="26"/>
  <c r="D4" i="26"/>
  <c r="E6" i="26" l="1"/>
  <c r="E9" i="26" s="1"/>
  <c r="B14" i="2" l="1"/>
  <c r="T3" i="21"/>
  <c r="G53" i="24"/>
  <c r="E53" i="24"/>
  <c r="G45" i="24"/>
  <c r="E45" i="24"/>
  <c r="G5" i="24"/>
  <c r="E5" i="24"/>
  <c r="G5" i="20"/>
  <c r="G53" i="20"/>
  <c r="E53" i="20"/>
  <c r="G45" i="20"/>
  <c r="E45" i="20"/>
  <c r="AT8" i="21" l="1"/>
  <c r="BR8" i="21"/>
  <c r="V8" i="21"/>
  <c r="E4" i="20"/>
  <c r="H5" i="20"/>
  <c r="AR6" i="21"/>
  <c r="BR6" i="21"/>
  <c r="AT6" i="21"/>
  <c r="V6" i="21"/>
  <c r="H5" i="24"/>
  <c r="AR27" i="21"/>
  <c r="AQ27" i="21"/>
  <c r="AQ25" i="21"/>
  <c r="AR25" i="21"/>
  <c r="BO8" i="21"/>
  <c r="T6" i="21"/>
  <c r="BP6" i="21"/>
  <c r="W6" i="21"/>
  <c r="BS6" i="21"/>
  <c r="AU6" i="21"/>
  <c r="E11" i="24"/>
  <c r="E37" i="24" s="1"/>
  <c r="E47" i="24" s="1"/>
  <c r="E55" i="24" s="1"/>
  <c r="AQ5" i="21" l="1"/>
  <c r="AQ8" i="21" s="1"/>
  <c r="E7" i="20"/>
  <c r="S8" i="21"/>
  <c r="G2" i="21"/>
  <c r="G5" i="15"/>
  <c r="E5" i="15"/>
  <c r="G5" i="14"/>
  <c r="E5" i="14"/>
  <c r="G5" i="13"/>
  <c r="E5" i="13"/>
  <c r="H5" i="14" l="1"/>
  <c r="AN6" i="21"/>
  <c r="P6" i="21"/>
  <c r="BL6" i="21"/>
  <c r="J6" i="21"/>
  <c r="BF6" i="21"/>
  <c r="AH6" i="21"/>
  <c r="H5" i="13"/>
  <c r="H5" i="15"/>
  <c r="BI6" i="21"/>
  <c r="AK6" i="21"/>
  <c r="M6" i="21"/>
  <c r="AE6" i="21"/>
  <c r="BC6" i="21"/>
  <c r="G6" i="21"/>
  <c r="AE2" i="21"/>
  <c r="Q6" i="21"/>
  <c r="BM6" i="21"/>
  <c r="AO6" i="21"/>
  <c r="K6" i="21"/>
  <c r="BG6" i="21"/>
  <c r="AI6" i="21"/>
  <c r="H6" i="21"/>
  <c r="BD6" i="21"/>
  <c r="AF6" i="21"/>
  <c r="N6" i="21"/>
  <c r="BJ6" i="21"/>
  <c r="AL6" i="21"/>
  <c r="H16" i="21"/>
  <c r="H41" i="21"/>
  <c r="H23" i="21"/>
  <c r="H19" i="21"/>
  <c r="H38" i="21"/>
  <c r="H24" i="21"/>
  <c r="H48" i="21"/>
  <c r="H32" i="21"/>
  <c r="H22" i="21"/>
  <c r="H7" i="21"/>
  <c r="J2" i="21"/>
  <c r="H28" i="21"/>
  <c r="H20" i="21"/>
  <c r="H40" i="21"/>
  <c r="H26" i="21"/>
  <c r="H18" i="21"/>
  <c r="H47" i="21"/>
  <c r="H39" i="21"/>
  <c r="H31" i="21"/>
  <c r="H21" i="21"/>
  <c r="H17" i="21"/>
  <c r="BO9" i="21" l="1"/>
  <c r="BP9" i="21" s="1"/>
  <c r="S9" i="21"/>
  <c r="T9" i="21" s="1"/>
  <c r="AQ9" i="21"/>
  <c r="AR9" i="21" s="1"/>
  <c r="E9" i="20"/>
  <c r="AF41" i="21"/>
  <c r="BC2" i="21"/>
  <c r="AF28" i="21"/>
  <c r="AF40" i="21"/>
  <c r="AF48" i="21"/>
  <c r="AH2" i="21"/>
  <c r="AF32" i="21"/>
  <c r="AF47" i="21"/>
  <c r="AF17" i="21"/>
  <c r="AF31" i="21"/>
  <c r="AF39" i="21"/>
  <c r="AF38" i="21"/>
  <c r="AF23" i="21"/>
  <c r="AF26" i="21"/>
  <c r="AF24" i="21"/>
  <c r="AF19" i="21"/>
  <c r="AF21" i="21"/>
  <c r="AF20" i="21"/>
  <c r="AF18" i="21"/>
  <c r="AF22" i="21"/>
  <c r="AF7" i="21"/>
  <c r="G49" i="21"/>
  <c r="H46" i="21"/>
  <c r="H49" i="21" s="1"/>
  <c r="K40" i="21"/>
  <c r="K31" i="21"/>
  <c r="K18" i="21"/>
  <c r="K22" i="21"/>
  <c r="K26" i="21"/>
  <c r="K48" i="21"/>
  <c r="K21" i="21"/>
  <c r="K23" i="21"/>
  <c r="M2" i="21"/>
  <c r="K39" i="21"/>
  <c r="K20" i="21"/>
  <c r="K7" i="21"/>
  <c r="K17" i="21"/>
  <c r="K28" i="21"/>
  <c r="K47" i="21"/>
  <c r="K38" i="21"/>
  <c r="K32" i="21"/>
  <c r="K19" i="21"/>
  <c r="K24" i="21"/>
  <c r="G42" i="21"/>
  <c r="H37" i="21"/>
  <c r="H42" i="21" s="1"/>
  <c r="E11" i="20" l="1"/>
  <c r="E37" i="20" s="1"/>
  <c r="E47" i="20" s="1"/>
  <c r="E55" i="20" s="1"/>
  <c r="AF37" i="21"/>
  <c r="AE42" i="21"/>
  <c r="AF46" i="21"/>
  <c r="AF49" i="21" s="1"/>
  <c r="AE49" i="21"/>
  <c r="BF2" i="21"/>
  <c r="BD47" i="21"/>
  <c r="BD39" i="21"/>
  <c r="BD31" i="21"/>
  <c r="BD23" i="21"/>
  <c r="BD19" i="21"/>
  <c r="BD40" i="21"/>
  <c r="BD20" i="21"/>
  <c r="BD38" i="21"/>
  <c r="BD28" i="21"/>
  <c r="BD22" i="21"/>
  <c r="BD18" i="21"/>
  <c r="BD21" i="21"/>
  <c r="BD7" i="21"/>
  <c r="BD48" i="21"/>
  <c r="BD24" i="21"/>
  <c r="BD41" i="21"/>
  <c r="BD26" i="21"/>
  <c r="BD17" i="21"/>
  <c r="BD32" i="21"/>
  <c r="AF42" i="21"/>
  <c r="AK2" i="21"/>
  <c r="AI47" i="21"/>
  <c r="AI39" i="21"/>
  <c r="AI31" i="21"/>
  <c r="AI17" i="21"/>
  <c r="AI21" i="21"/>
  <c r="AI24" i="21"/>
  <c r="AI38" i="21"/>
  <c r="AI28" i="21"/>
  <c r="AI18" i="21"/>
  <c r="AI22" i="21"/>
  <c r="AI26" i="21"/>
  <c r="AI19" i="21"/>
  <c r="AI7" i="21"/>
  <c r="AI40" i="21"/>
  <c r="AI32" i="21"/>
  <c r="AI20" i="21"/>
  <c r="AI23" i="21"/>
  <c r="AI48" i="21"/>
  <c r="N39" i="21"/>
  <c r="N18" i="21"/>
  <c r="N22" i="21"/>
  <c r="N26" i="21"/>
  <c r="N48" i="21"/>
  <c r="N41" i="21"/>
  <c r="N17" i="21"/>
  <c r="N23" i="21"/>
  <c r="N28" i="21"/>
  <c r="N40" i="21"/>
  <c r="N16" i="21"/>
  <c r="N21" i="21"/>
  <c r="N7" i="21"/>
  <c r="N46" i="21"/>
  <c r="N37" i="21"/>
  <c r="N19" i="21"/>
  <c r="N24" i="21"/>
  <c r="P2" i="21"/>
  <c r="N38" i="21"/>
  <c r="N31" i="21"/>
  <c r="N20" i="21"/>
  <c r="K37" i="21"/>
  <c r="K42" i="21" s="1"/>
  <c r="J42" i="21"/>
  <c r="K46" i="21"/>
  <c r="K49" i="21" s="1"/>
  <c r="J49" i="21"/>
  <c r="BI2" i="21" l="1"/>
  <c r="BG47" i="21"/>
  <c r="BG39" i="21"/>
  <c r="BG31" i="21"/>
  <c r="BG23" i="21"/>
  <c r="BG19" i="21"/>
  <c r="BG38" i="21"/>
  <c r="BG28" i="21"/>
  <c r="BG22" i="21"/>
  <c r="BG18" i="21"/>
  <c r="BG48" i="21"/>
  <c r="BG40" i="21"/>
  <c r="BG24" i="21"/>
  <c r="BG20" i="21"/>
  <c r="BG26" i="21"/>
  <c r="BG21" i="21"/>
  <c r="BG17" i="21"/>
  <c r="BG7" i="21"/>
  <c r="BG32" i="21"/>
  <c r="AI46" i="21"/>
  <c r="AI49" i="21" s="1"/>
  <c r="AH49" i="21"/>
  <c r="AN2" i="21"/>
  <c r="AL47" i="21"/>
  <c r="AL39" i="21"/>
  <c r="AL28" i="21"/>
  <c r="AL22" i="21"/>
  <c r="AL18" i="21"/>
  <c r="AL38" i="21"/>
  <c r="AL26" i="21"/>
  <c r="AL21" i="21"/>
  <c r="AL17" i="21"/>
  <c r="AL7" i="21"/>
  <c r="AL48" i="21"/>
  <c r="AL31" i="21"/>
  <c r="AL23" i="21"/>
  <c r="AL41" i="21"/>
  <c r="AL24" i="21"/>
  <c r="AL20" i="21"/>
  <c r="AL16" i="21"/>
  <c r="AL40" i="21"/>
  <c r="AL19" i="21"/>
  <c r="BD46" i="21"/>
  <c r="BD49" i="21" s="1"/>
  <c r="BC49" i="21"/>
  <c r="AI37" i="21"/>
  <c r="AI42" i="21" s="1"/>
  <c r="AH42" i="21"/>
  <c r="BD37" i="21"/>
  <c r="BD42" i="21" s="1"/>
  <c r="BC42" i="21"/>
  <c r="S2" i="21"/>
  <c r="T39" i="21" s="1"/>
  <c r="T17" i="21"/>
  <c r="T21" i="21"/>
  <c r="T38" i="21"/>
  <c r="T20" i="21"/>
  <c r="T47" i="21"/>
  <c r="T40" i="21"/>
  <c r="T18" i="21"/>
  <c r="T22" i="21"/>
  <c r="T26" i="21"/>
  <c r="T48" i="21"/>
  <c r="T41" i="21"/>
  <c r="T23" i="21"/>
  <c r="T24" i="21"/>
  <c r="Q40" i="21"/>
  <c r="Q32" i="21"/>
  <c r="Q16" i="21"/>
  <c r="Q20" i="21"/>
  <c r="Q24" i="21"/>
  <c r="Q28" i="21"/>
  <c r="Q21" i="21"/>
  <c r="Q26" i="21"/>
  <c r="Q7" i="21"/>
  <c r="Q41" i="21"/>
  <c r="Q47" i="21"/>
  <c r="Q38" i="21"/>
  <c r="Q17" i="21"/>
  <c r="Q22" i="21"/>
  <c r="Q19" i="21"/>
  <c r="Q48" i="21"/>
  <c r="Q39" i="21"/>
  <c r="Q31" i="21"/>
  <c r="Q18" i="21"/>
  <c r="Q23" i="21"/>
  <c r="N15" i="21"/>
  <c r="N42" i="21"/>
  <c r="M42" i="21"/>
  <c r="V2" i="21" l="1"/>
  <c r="AL46" i="21"/>
  <c r="AL49" i="21" s="1"/>
  <c r="AK49" i="21"/>
  <c r="T19" i="21"/>
  <c r="T7" i="21"/>
  <c r="T31" i="21"/>
  <c r="T28" i="21"/>
  <c r="AL37" i="21"/>
  <c r="AL42" i="21" s="1"/>
  <c r="AK42" i="21"/>
  <c r="AQ2" i="21"/>
  <c r="AO47" i="21"/>
  <c r="AO39" i="21"/>
  <c r="AO31" i="21"/>
  <c r="AO23" i="21"/>
  <c r="AO19" i="21"/>
  <c r="AO15" i="21"/>
  <c r="AO38" i="21"/>
  <c r="AO28" i="21"/>
  <c r="AO22" i="21"/>
  <c r="AO18" i="21"/>
  <c r="AO48" i="21"/>
  <c r="AO40" i="21"/>
  <c r="AO24" i="21"/>
  <c r="AO20" i="21"/>
  <c r="AO41" i="21"/>
  <c r="AO26" i="21"/>
  <c r="AO21" i="21"/>
  <c r="AO17" i="21"/>
  <c r="AO7" i="21"/>
  <c r="AO32" i="21"/>
  <c r="AO16" i="21"/>
  <c r="BG46" i="21"/>
  <c r="BG49" i="21" s="1"/>
  <c r="BF49" i="21"/>
  <c r="BG37" i="21"/>
  <c r="BG42" i="21" s="1"/>
  <c r="BF42" i="21"/>
  <c r="BL2" i="21"/>
  <c r="BJ47" i="21"/>
  <c r="BJ39" i="21"/>
  <c r="BJ28" i="21"/>
  <c r="BJ22" i="21"/>
  <c r="BJ18" i="21"/>
  <c r="BJ38" i="21"/>
  <c r="BJ26" i="21"/>
  <c r="BJ21" i="21"/>
  <c r="BJ17" i="21"/>
  <c r="BJ7" i="21"/>
  <c r="BJ31" i="21"/>
  <c r="BJ19" i="21"/>
  <c r="BJ41" i="21"/>
  <c r="BJ24" i="21"/>
  <c r="BJ20" i="21"/>
  <c r="BJ16" i="21"/>
  <c r="BJ48" i="21"/>
  <c r="BJ40" i="21"/>
  <c r="BJ23" i="21"/>
  <c r="AL15" i="21"/>
  <c r="T37" i="21"/>
  <c r="T42" i="21" s="1"/>
  <c r="S42" i="21"/>
  <c r="W47" i="21"/>
  <c r="W39" i="21"/>
  <c r="W32" i="21"/>
  <c r="W18" i="21"/>
  <c r="W22" i="21"/>
  <c r="W26" i="21"/>
  <c r="W21" i="21"/>
  <c r="W48" i="21"/>
  <c r="W40" i="21"/>
  <c r="W31" i="21"/>
  <c r="W19" i="21"/>
  <c r="W23" i="21"/>
  <c r="W7" i="21"/>
  <c r="W41" i="21"/>
  <c r="W16" i="21"/>
  <c r="W20" i="21"/>
  <c r="W24" i="21"/>
  <c r="W28" i="21"/>
  <c r="W38" i="21"/>
  <c r="W17" i="21"/>
  <c r="T46" i="21"/>
  <c r="T49" i="21" s="1"/>
  <c r="S49" i="21"/>
  <c r="T32" i="21"/>
  <c r="S11" i="21"/>
  <c r="Q46" i="21"/>
  <c r="Q49" i="21" s="1"/>
  <c r="P49" i="21"/>
  <c r="P42" i="21"/>
  <c r="Q37" i="21"/>
  <c r="Q42" i="21" s="1"/>
  <c r="Q15" i="21"/>
  <c r="M49" i="21"/>
  <c r="N47" i="21"/>
  <c r="N49" i="21" s="1"/>
  <c r="AO37" i="21" l="1"/>
  <c r="AO42" i="21" s="1"/>
  <c r="AN42" i="21"/>
  <c r="BJ15" i="21"/>
  <c r="BJ46" i="21"/>
  <c r="BJ49" i="21" s="1"/>
  <c r="BI49" i="21"/>
  <c r="AT2" i="21"/>
  <c r="AR48" i="21"/>
  <c r="AR40" i="21"/>
  <c r="AR31" i="21"/>
  <c r="AR23" i="21"/>
  <c r="AR19" i="21"/>
  <c r="AR47" i="21"/>
  <c r="AR39" i="21"/>
  <c r="AR28" i="21"/>
  <c r="AR22" i="21"/>
  <c r="AR18" i="21"/>
  <c r="AR41" i="21"/>
  <c r="AR24" i="21"/>
  <c r="AR20" i="21"/>
  <c r="AR38" i="21"/>
  <c r="AR26" i="21"/>
  <c r="AR21" i="21"/>
  <c r="AR17" i="21"/>
  <c r="AR32" i="21"/>
  <c r="AQ11" i="21"/>
  <c r="BO2" i="21"/>
  <c r="BM47" i="21"/>
  <c r="BM39" i="21"/>
  <c r="BM31" i="21"/>
  <c r="BM23" i="21"/>
  <c r="BM19" i="21"/>
  <c r="BM15" i="21"/>
  <c r="BM38" i="21"/>
  <c r="BM28" i="21"/>
  <c r="BM22" i="21"/>
  <c r="BM18" i="21"/>
  <c r="BM40" i="21"/>
  <c r="BM24" i="21"/>
  <c r="BM16" i="21"/>
  <c r="BM41" i="21"/>
  <c r="BM26" i="21"/>
  <c r="BM21" i="21"/>
  <c r="BM17" i="21"/>
  <c r="BM7" i="21"/>
  <c r="BM48" i="21"/>
  <c r="BM32" i="21"/>
  <c r="BM20" i="21"/>
  <c r="BJ37" i="21"/>
  <c r="BJ42" i="21" s="1"/>
  <c r="BI42" i="21"/>
  <c r="AO46" i="21"/>
  <c r="AO49" i="21" s="1"/>
  <c r="AN49" i="21"/>
  <c r="V11" i="21"/>
  <c r="W37" i="21"/>
  <c r="W42" i="21" s="1"/>
  <c r="V42" i="21"/>
  <c r="V49" i="21"/>
  <c r="W46" i="21"/>
  <c r="W49" i="21" s="1"/>
  <c r="E53" i="13"/>
  <c r="G53" i="13"/>
  <c r="BM46" i="21" l="1"/>
  <c r="BM49" i="21" s="1"/>
  <c r="BL49" i="21"/>
  <c r="BR2" i="21"/>
  <c r="BP47" i="21"/>
  <c r="BP39" i="21"/>
  <c r="BP28" i="21"/>
  <c r="BP22" i="21"/>
  <c r="BP18" i="21"/>
  <c r="BP38" i="21"/>
  <c r="BP26" i="21"/>
  <c r="BP21" i="21"/>
  <c r="BP17" i="21"/>
  <c r="BP7" i="21"/>
  <c r="BP48" i="21"/>
  <c r="BP40" i="21"/>
  <c r="BP31" i="21"/>
  <c r="BP19" i="21"/>
  <c r="BP41" i="21"/>
  <c r="BP24" i="21"/>
  <c r="BP20" i="21"/>
  <c r="BP23" i="21"/>
  <c r="BP32" i="21"/>
  <c r="AR46" i="21"/>
  <c r="AR49" i="21" s="1"/>
  <c r="AQ49" i="21"/>
  <c r="AU48" i="21"/>
  <c r="AU40" i="21"/>
  <c r="AU31" i="21"/>
  <c r="AU23" i="21"/>
  <c r="AU19" i="21"/>
  <c r="AU41" i="21"/>
  <c r="AU24" i="21"/>
  <c r="AU20" i="21"/>
  <c r="AU47" i="21"/>
  <c r="AU39" i="21"/>
  <c r="AU28" i="21"/>
  <c r="AU22" i="21"/>
  <c r="AU18" i="21"/>
  <c r="AU38" i="21"/>
  <c r="AU26" i="21"/>
  <c r="AU21" i="21"/>
  <c r="AU17" i="21"/>
  <c r="AU7" i="21"/>
  <c r="AU32" i="21"/>
  <c r="BM37" i="21"/>
  <c r="BM42" i="21" s="1"/>
  <c r="BL42" i="21"/>
  <c r="AR37" i="21"/>
  <c r="AR42" i="21" s="1"/>
  <c r="AQ42" i="21"/>
  <c r="B12" i="5"/>
  <c r="B12" i="4"/>
  <c r="G53" i="15"/>
  <c r="G45" i="15"/>
  <c r="E53" i="15"/>
  <c r="E45" i="15"/>
  <c r="G53" i="14"/>
  <c r="G45" i="14"/>
  <c r="E53" i="14"/>
  <c r="E45" i="14"/>
  <c r="G45" i="13"/>
  <c r="E45" i="13"/>
  <c r="G53" i="12"/>
  <c r="G45" i="12"/>
  <c r="E53" i="12"/>
  <c r="E45" i="12"/>
  <c r="AT11" i="21" l="1"/>
  <c r="BO11" i="21"/>
  <c r="BP37" i="21"/>
  <c r="BP42" i="21" s="1"/>
  <c r="BO42" i="21"/>
  <c r="BP46" i="21"/>
  <c r="BP49" i="21" s="1"/>
  <c r="BO49" i="21"/>
  <c r="AU46" i="21"/>
  <c r="AU49" i="21" s="1"/>
  <c r="AT49" i="21"/>
  <c r="AU37" i="21"/>
  <c r="AU42" i="21" s="1"/>
  <c r="AT42" i="21"/>
  <c r="BS48" i="21"/>
  <c r="BS40" i="21"/>
  <c r="BS31" i="21"/>
  <c r="BS23" i="21"/>
  <c r="BS19" i="21"/>
  <c r="BS47" i="21"/>
  <c r="BS39" i="21"/>
  <c r="BS28" i="21"/>
  <c r="BS22" i="21"/>
  <c r="BS18" i="21"/>
  <c r="BS24" i="21"/>
  <c r="BS20" i="21"/>
  <c r="BS38" i="21"/>
  <c r="BS26" i="21"/>
  <c r="BS21" i="21"/>
  <c r="BS17" i="21"/>
  <c r="BS7" i="21"/>
  <c r="BS41" i="21"/>
  <c r="BS32" i="21"/>
  <c r="BR11" i="21"/>
  <c r="BL11" i="21"/>
  <c r="AN11" i="21"/>
  <c r="BF11" i="21"/>
  <c r="AH11" i="21"/>
  <c r="BC11" i="21"/>
  <c r="AE11" i="21"/>
  <c r="N32" i="21"/>
  <c r="BJ32" i="21"/>
  <c r="AL32" i="21"/>
  <c r="E11" i="15"/>
  <c r="E37" i="15" s="1"/>
  <c r="P11" i="21"/>
  <c r="E11" i="12"/>
  <c r="E37" i="12" s="1"/>
  <c r="E47" i="12" s="1"/>
  <c r="E55" i="12" s="1"/>
  <c r="G11" i="21"/>
  <c r="E11" i="13"/>
  <c r="E37" i="13" s="1"/>
  <c r="E47" i="13" s="1"/>
  <c r="E55" i="13" s="1"/>
  <c r="J11" i="21"/>
  <c r="BI29" i="21" l="1"/>
  <c r="BS37" i="21"/>
  <c r="BS42" i="21" s="1"/>
  <c r="BR42" i="21"/>
  <c r="BS46" i="21"/>
  <c r="BS49" i="21" s="1"/>
  <c r="BR49" i="21"/>
  <c r="M11" i="21"/>
  <c r="BI11" i="21"/>
  <c r="AK11" i="21"/>
  <c r="AE29" i="21"/>
  <c r="AE34" i="21" s="1"/>
  <c r="G4" i="13"/>
  <c r="G7" i="13" s="1"/>
  <c r="G4" i="20"/>
  <c r="G7" i="20" s="1"/>
  <c r="G4" i="24"/>
  <c r="G7" i="24" s="1"/>
  <c r="E47" i="15"/>
  <c r="E55" i="15" s="1"/>
  <c r="E11" i="14"/>
  <c r="E37" i="14" s="1"/>
  <c r="E47" i="14" s="1"/>
  <c r="E55" i="14" s="1"/>
  <c r="G4" i="15"/>
  <c r="G7" i="15" s="1"/>
  <c r="G4" i="12"/>
  <c r="G7" i="12" s="1"/>
  <c r="G9" i="12" s="1"/>
  <c r="G4" i="14"/>
  <c r="G7" i="14" s="1"/>
  <c r="G9" i="15" l="1"/>
  <c r="H7" i="15"/>
  <c r="H7" i="20"/>
  <c r="G9" i="20"/>
  <c r="G11" i="20" s="1"/>
  <c r="G37" i="20" s="1"/>
  <c r="G47" i="20" s="1"/>
  <c r="G55" i="20" s="1"/>
  <c r="H7" i="13"/>
  <c r="G9" i="13"/>
  <c r="H7" i="24"/>
  <c r="G9" i="24"/>
  <c r="G11" i="24" s="1"/>
  <c r="G37" i="24" s="1"/>
  <c r="G47" i="24" s="1"/>
  <c r="G55" i="24" s="1"/>
  <c r="G9" i="14"/>
  <c r="H7" i="14"/>
  <c r="H8" i="19"/>
  <c r="H10" i="19"/>
  <c r="H7" i="19"/>
  <c r="H9" i="19"/>
  <c r="BS8" i="21"/>
  <c r="H4" i="24"/>
  <c r="BM8" i="21"/>
  <c r="H4" i="15"/>
  <c r="H4" i="13"/>
  <c r="BD8" i="21"/>
  <c r="H4" i="12"/>
  <c r="H4" i="14"/>
  <c r="BP8" i="21"/>
  <c r="BP11" i="21" s="1"/>
  <c r="H4" i="20"/>
  <c r="BP29" i="21"/>
  <c r="AO29" i="21"/>
  <c r="BC29" i="21"/>
  <c r="BC34" i="21" s="1"/>
  <c r="AF29" i="21"/>
  <c r="AT29" i="21"/>
  <c r="AT34" i="21" s="1"/>
  <c r="BR29" i="21"/>
  <c r="BR34" i="21" s="1"/>
  <c r="BO29" i="21"/>
  <c r="BO34" i="21" s="1"/>
  <c r="BM29" i="21"/>
  <c r="BL29" i="21"/>
  <c r="BL34" i="21" s="1"/>
  <c r="BJ29" i="21"/>
  <c r="AK29" i="21"/>
  <c r="AK34" i="21" s="1"/>
  <c r="BD29" i="21"/>
  <c r="BI34" i="21"/>
  <c r="BG29" i="21"/>
  <c r="AI29" i="21"/>
  <c r="AN29" i="21"/>
  <c r="AN34" i="21" s="1"/>
  <c r="AQ29" i="21"/>
  <c r="AQ34" i="21" s="1"/>
  <c r="AE44" i="21"/>
  <c r="BS29" i="21"/>
  <c r="AU29" i="21"/>
  <c r="BF29" i="21"/>
  <c r="BF34" i="21" s="1"/>
  <c r="AH29" i="21"/>
  <c r="AH34" i="21" s="1"/>
  <c r="AR29" i="21"/>
  <c r="AL29" i="21"/>
  <c r="AR5" i="21"/>
  <c r="AU5" i="21"/>
  <c r="AO5" i="21"/>
  <c r="AI5" i="21"/>
  <c r="AF5" i="21"/>
  <c r="AL5" i="21"/>
  <c r="Q29" i="21"/>
  <c r="P29" i="21"/>
  <c r="P34" i="21" s="1"/>
  <c r="K29" i="21"/>
  <c r="J29" i="21"/>
  <c r="J34" i="21" s="1"/>
  <c r="T29" i="21"/>
  <c r="S29" i="21"/>
  <c r="S34" i="21" s="1"/>
  <c r="W29" i="21"/>
  <c r="V29" i="21"/>
  <c r="V34" i="21" s="1"/>
  <c r="H29" i="21"/>
  <c r="G29" i="21"/>
  <c r="G34" i="21" s="1"/>
  <c r="N29" i="21"/>
  <c r="M29" i="21"/>
  <c r="M34" i="21" s="1"/>
  <c r="G11" i="13"/>
  <c r="G37" i="13" s="1"/>
  <c r="G47" i="13" s="1"/>
  <c r="G55" i="13" s="1"/>
  <c r="G11" i="15"/>
  <c r="G37" i="15" s="1"/>
  <c r="G47" i="15" s="1"/>
  <c r="G55" i="15" s="1"/>
  <c r="G11" i="14"/>
  <c r="G37" i="14" s="1"/>
  <c r="G11" i="12"/>
  <c r="G37" i="12" s="1"/>
  <c r="B10" i="19" l="1"/>
  <c r="B9" i="19"/>
  <c r="B7" i="19"/>
  <c r="B8" i="19"/>
  <c r="F8" i="19"/>
  <c r="F9" i="19"/>
  <c r="F7" i="19"/>
  <c r="F10" i="19"/>
  <c r="J10" i="19"/>
  <c r="J7" i="19"/>
  <c r="J9" i="19"/>
  <c r="J8" i="19"/>
  <c r="F5" i="19"/>
  <c r="F6" i="19"/>
  <c r="H19" i="19"/>
  <c r="H22" i="19"/>
  <c r="H21" i="19"/>
  <c r="H20" i="19"/>
  <c r="L7" i="19"/>
  <c r="L9" i="19"/>
  <c r="L8" i="19"/>
  <c r="L10" i="19"/>
  <c r="D10" i="19"/>
  <c r="D9" i="19"/>
  <c r="D7" i="19"/>
  <c r="D8" i="19"/>
  <c r="E9" i="19"/>
  <c r="C9" i="19"/>
  <c r="I5" i="19"/>
  <c r="I6" i="19"/>
  <c r="E10" i="19"/>
  <c r="C10" i="19"/>
  <c r="C6" i="19"/>
  <c r="C5" i="19"/>
  <c r="BD11" i="21"/>
  <c r="BD34" i="21" s="1"/>
  <c r="BG8" i="21"/>
  <c r="BG11" i="21" s="1"/>
  <c r="BG34" i="21" s="1"/>
  <c r="I9" i="19"/>
  <c r="G9" i="19"/>
  <c r="BM11" i="21"/>
  <c r="BM34" i="21" s="1"/>
  <c r="M9" i="19"/>
  <c r="K9" i="19"/>
  <c r="G10" i="19"/>
  <c r="I10" i="19"/>
  <c r="M10" i="19"/>
  <c r="K10" i="19"/>
  <c r="BJ8" i="21"/>
  <c r="BJ11" i="21" s="1"/>
  <c r="BJ34" i="21" s="1"/>
  <c r="E8" i="19"/>
  <c r="C8" i="19"/>
  <c r="D5" i="19"/>
  <c r="K8" i="19"/>
  <c r="M8" i="19"/>
  <c r="J5" i="19"/>
  <c r="G8" i="19"/>
  <c r="G5" i="19"/>
  <c r="I8" i="19"/>
  <c r="BS11" i="21"/>
  <c r="BS34" i="21" s="1"/>
  <c r="E7" i="19"/>
  <c r="D6" i="19"/>
  <c r="C7" i="19"/>
  <c r="M7" i="19"/>
  <c r="J6" i="19"/>
  <c r="K7" i="19"/>
  <c r="I7" i="19"/>
  <c r="G6" i="19"/>
  <c r="G7" i="19"/>
  <c r="BC44" i="21"/>
  <c r="BC51" i="21" s="1"/>
  <c r="AU8" i="21"/>
  <c r="AU11" i="21" s="1"/>
  <c r="AU34" i="21" s="1"/>
  <c r="Q8" i="21"/>
  <c r="Q11" i="21" s="1"/>
  <c r="Q34" i="21" s="1"/>
  <c r="AF8" i="21"/>
  <c r="AF11" i="21" s="1"/>
  <c r="AF34" i="21" s="1"/>
  <c r="W8" i="21"/>
  <c r="W11" i="21" s="1"/>
  <c r="W34" i="21" s="1"/>
  <c r="AL8" i="21"/>
  <c r="AL11" i="21" s="1"/>
  <c r="AL34" i="21" s="1"/>
  <c r="H8" i="21"/>
  <c r="H11" i="21" s="1"/>
  <c r="H34" i="21" s="1"/>
  <c r="AO8" i="21"/>
  <c r="AO11" i="21" s="1"/>
  <c r="AO34" i="21" s="1"/>
  <c r="AR8" i="21"/>
  <c r="AR11" i="21" s="1"/>
  <c r="AR34" i="21" s="1"/>
  <c r="K8" i="21"/>
  <c r="K11" i="21" s="1"/>
  <c r="K34" i="21" s="1"/>
  <c r="N8" i="21"/>
  <c r="N11" i="21" s="1"/>
  <c r="N34" i="21" s="1"/>
  <c r="AI8" i="21"/>
  <c r="AI11" i="21" s="1"/>
  <c r="AI34" i="21" s="1"/>
  <c r="T8" i="21"/>
  <c r="T11" i="21" s="1"/>
  <c r="T34" i="21" s="1"/>
  <c r="BL44" i="21"/>
  <c r="AN44" i="21"/>
  <c r="AK44" i="21"/>
  <c r="BI44" i="21"/>
  <c r="BP34" i="21"/>
  <c r="BR44" i="21"/>
  <c r="AT44" i="21"/>
  <c r="BO44" i="21"/>
  <c r="AQ44" i="21"/>
  <c r="AH44" i="21"/>
  <c r="BF44" i="21"/>
  <c r="AE51" i="21"/>
  <c r="M44" i="21"/>
  <c r="S44" i="21"/>
  <c r="V44" i="21"/>
  <c r="P44" i="21"/>
  <c r="G44" i="21"/>
  <c r="J44" i="21"/>
  <c r="G47" i="14"/>
  <c r="G55" i="14" s="1"/>
  <c r="G47" i="12"/>
  <c r="G55" i="12" s="1"/>
  <c r="D4" i="32" l="1"/>
  <c r="D3" i="32"/>
  <c r="J20" i="19"/>
  <c r="J19" i="19"/>
  <c r="J21" i="19"/>
  <c r="J22" i="19"/>
  <c r="U10" i="19"/>
  <c r="U9" i="19"/>
  <c r="U7" i="19"/>
  <c r="U8" i="19"/>
  <c r="B20" i="19"/>
  <c r="B19" i="19"/>
  <c r="B21" i="19"/>
  <c r="B22" i="19"/>
  <c r="F22" i="19"/>
  <c r="F19" i="19"/>
  <c r="F21" i="19"/>
  <c r="F20" i="19"/>
  <c r="Y8" i="19"/>
  <c r="Y7" i="19"/>
  <c r="Y9" i="19"/>
  <c r="Y10" i="19"/>
  <c r="Q8" i="19"/>
  <c r="Q7" i="19"/>
  <c r="Q9" i="19"/>
  <c r="Q10" i="19"/>
  <c r="B3" i="32"/>
  <c r="D20" i="19"/>
  <c r="D22" i="19"/>
  <c r="D21" i="19"/>
  <c r="D19" i="19"/>
  <c r="E21" i="19"/>
  <c r="C21" i="19"/>
  <c r="H34" i="19"/>
  <c r="H33" i="19"/>
  <c r="H32" i="19"/>
  <c r="H31" i="19"/>
  <c r="L31" i="19"/>
  <c r="L34" i="19"/>
  <c r="L33" i="19"/>
  <c r="L32" i="19"/>
  <c r="L22" i="19"/>
  <c r="L21" i="19"/>
  <c r="L20" i="19"/>
  <c r="L19" i="19"/>
  <c r="E22" i="19"/>
  <c r="C22" i="19"/>
  <c r="I18" i="19"/>
  <c r="I17" i="19"/>
  <c r="B7" i="32"/>
  <c r="C17" i="19"/>
  <c r="C18" i="19"/>
  <c r="F17" i="19"/>
  <c r="F18" i="19"/>
  <c r="C4" i="32"/>
  <c r="B8" i="32"/>
  <c r="T9" i="19"/>
  <c r="R9" i="19"/>
  <c r="T10" i="19"/>
  <c r="R10" i="19"/>
  <c r="X5" i="19"/>
  <c r="X6" i="19"/>
  <c r="R5" i="19"/>
  <c r="R6" i="19"/>
  <c r="U6" i="19"/>
  <c r="U5" i="19"/>
  <c r="S9" i="19"/>
  <c r="S10" i="19"/>
  <c r="S7" i="19"/>
  <c r="W9" i="19"/>
  <c r="W10" i="19"/>
  <c r="W7" i="19"/>
  <c r="AA10" i="19"/>
  <c r="AA8" i="19"/>
  <c r="AA9" i="19"/>
  <c r="W8" i="19"/>
  <c r="S8" i="19"/>
  <c r="AA7" i="19"/>
  <c r="D8" i="32"/>
  <c r="D7" i="32"/>
  <c r="B6" i="32"/>
  <c r="Y5" i="19"/>
  <c r="Z8" i="19"/>
  <c r="AB8" i="19"/>
  <c r="V9" i="19"/>
  <c r="X9" i="19"/>
  <c r="AB9" i="19"/>
  <c r="Z9" i="19"/>
  <c r="M21" i="19"/>
  <c r="K21" i="19"/>
  <c r="N9" i="19"/>
  <c r="C7" i="32"/>
  <c r="G21" i="19"/>
  <c r="I21" i="19"/>
  <c r="AB10" i="19"/>
  <c r="Z10" i="19"/>
  <c r="M22" i="19"/>
  <c r="K22" i="19"/>
  <c r="C8" i="32"/>
  <c r="N10" i="19"/>
  <c r="I22" i="19"/>
  <c r="G22" i="19"/>
  <c r="X10" i="19"/>
  <c r="V10" i="19"/>
  <c r="E20" i="19"/>
  <c r="C20" i="19"/>
  <c r="D17" i="19"/>
  <c r="T8" i="19"/>
  <c r="R8" i="19"/>
  <c r="S5" i="19"/>
  <c r="I20" i="19"/>
  <c r="G20" i="19"/>
  <c r="G17" i="19"/>
  <c r="N5" i="19"/>
  <c r="C3" i="32"/>
  <c r="M20" i="19"/>
  <c r="K20" i="19"/>
  <c r="J17" i="19"/>
  <c r="N8" i="19"/>
  <c r="C6" i="32"/>
  <c r="X8" i="19"/>
  <c r="V5" i="19"/>
  <c r="V8" i="19"/>
  <c r="D6" i="32"/>
  <c r="T7" i="19"/>
  <c r="R7" i="19"/>
  <c r="S6" i="19"/>
  <c r="B5" i="32"/>
  <c r="N7" i="19"/>
  <c r="D5" i="32"/>
  <c r="B4" i="32"/>
  <c r="N6" i="19"/>
  <c r="K19" i="19"/>
  <c r="J18" i="19"/>
  <c r="M19" i="19"/>
  <c r="AB7" i="19"/>
  <c r="Z7" i="19"/>
  <c r="Y6" i="19"/>
  <c r="C19" i="19"/>
  <c r="D18" i="19"/>
  <c r="E19" i="19"/>
  <c r="V6" i="19"/>
  <c r="V7" i="19"/>
  <c r="X7" i="19"/>
  <c r="G19" i="19"/>
  <c r="I19" i="19"/>
  <c r="G18" i="19"/>
  <c r="C5" i="32"/>
  <c r="BL51" i="21"/>
  <c r="AN51" i="21"/>
  <c r="AO44" i="21"/>
  <c r="BM44" i="21"/>
  <c r="AK51" i="21"/>
  <c r="AL44" i="21"/>
  <c r="BI51" i="21"/>
  <c r="BJ44" i="21"/>
  <c r="BR51" i="21"/>
  <c r="BP44" i="21"/>
  <c r="AR44" i="21"/>
  <c r="AT51" i="21"/>
  <c r="BG44" i="21"/>
  <c r="AF44" i="21"/>
  <c r="BD44" i="21"/>
  <c r="BS44" i="21"/>
  <c r="BO51" i="21"/>
  <c r="T44" i="21"/>
  <c r="K44" i="21"/>
  <c r="AI44" i="21"/>
  <c r="W44" i="21"/>
  <c r="BF51" i="21"/>
  <c r="AH51" i="21"/>
  <c r="S51" i="21"/>
  <c r="AU44" i="21"/>
  <c r="AQ51" i="21"/>
  <c r="V51" i="21"/>
  <c r="Q44" i="21"/>
  <c r="H44" i="21"/>
  <c r="N44" i="21"/>
  <c r="G51" i="21"/>
  <c r="J51" i="21"/>
  <c r="P51" i="21"/>
  <c r="M51" i="21"/>
  <c r="E4" i="32" l="1"/>
  <c r="E8" i="32"/>
  <c r="E3" i="32"/>
  <c r="E7" i="32"/>
  <c r="E5" i="32"/>
  <c r="E6" i="32"/>
  <c r="C29" i="32"/>
  <c r="S4" i="32"/>
  <c r="B28" i="32"/>
  <c r="D29" i="32"/>
  <c r="D28" i="32"/>
  <c r="R3" i="32"/>
  <c r="J34" i="19"/>
  <c r="J33" i="19"/>
  <c r="J31" i="19"/>
  <c r="J32" i="19"/>
  <c r="Y22" i="19"/>
  <c r="Y21" i="19"/>
  <c r="Y19" i="19"/>
  <c r="Y20" i="19"/>
  <c r="B34" i="19"/>
  <c r="B33" i="19"/>
  <c r="B31" i="19"/>
  <c r="B32" i="19"/>
  <c r="U20" i="19"/>
  <c r="U19" i="19"/>
  <c r="U21" i="19"/>
  <c r="U22" i="19"/>
  <c r="F32" i="19"/>
  <c r="F31" i="19"/>
  <c r="F33" i="19"/>
  <c r="F34" i="19"/>
  <c r="Q22" i="19"/>
  <c r="Q21" i="19"/>
  <c r="Q19" i="19"/>
  <c r="Q20" i="19"/>
  <c r="T3" i="32"/>
  <c r="D32" i="32"/>
  <c r="C28" i="32"/>
  <c r="C30" i="19"/>
  <c r="C29" i="19"/>
  <c r="C34" i="19"/>
  <c r="E34" i="19"/>
  <c r="I29" i="19"/>
  <c r="I30" i="19"/>
  <c r="C33" i="19"/>
  <c r="E33" i="19"/>
  <c r="D31" i="19"/>
  <c r="D32" i="19"/>
  <c r="D34" i="19"/>
  <c r="D33" i="19"/>
  <c r="F30" i="19"/>
  <c r="F29" i="19"/>
  <c r="B33" i="32"/>
  <c r="B32" i="32"/>
  <c r="T21" i="19"/>
  <c r="R21" i="19"/>
  <c r="R7" i="32"/>
  <c r="R8" i="32"/>
  <c r="R22" i="19"/>
  <c r="T22" i="19"/>
  <c r="R18" i="19"/>
  <c r="R17" i="19"/>
  <c r="R4" i="32"/>
  <c r="X18" i="19"/>
  <c r="X17" i="19"/>
  <c r="T4" i="32"/>
  <c r="U18" i="19"/>
  <c r="U17" i="19"/>
  <c r="W20" i="19"/>
  <c r="AA22" i="19"/>
  <c r="AA21" i="19"/>
  <c r="AA20" i="19"/>
  <c r="S20" i="19"/>
  <c r="AA19" i="19"/>
  <c r="S19" i="19"/>
  <c r="S22" i="19"/>
  <c r="S21" i="19"/>
  <c r="W22" i="19"/>
  <c r="W19" i="19"/>
  <c r="W21" i="19"/>
  <c r="T7" i="32"/>
  <c r="R5" i="32"/>
  <c r="B31" i="32"/>
  <c r="S5" i="32"/>
  <c r="T5" i="32"/>
  <c r="D31" i="32"/>
  <c r="R6" i="32"/>
  <c r="D30" i="32"/>
  <c r="C31" i="32"/>
  <c r="T20" i="19"/>
  <c r="S17" i="19"/>
  <c r="R20" i="19"/>
  <c r="AB20" i="19"/>
  <c r="Y17" i="19"/>
  <c r="Z20" i="19"/>
  <c r="X19" i="19"/>
  <c r="V19" i="19"/>
  <c r="V18" i="19"/>
  <c r="N18" i="19"/>
  <c r="B29" i="32"/>
  <c r="T6" i="32"/>
  <c r="X20" i="19"/>
  <c r="V20" i="19"/>
  <c r="V17" i="19"/>
  <c r="AC5" i="19"/>
  <c r="S3" i="32"/>
  <c r="C30" i="32"/>
  <c r="T19" i="19"/>
  <c r="S18" i="19"/>
  <c r="R19" i="19"/>
  <c r="AB19" i="19"/>
  <c r="Y18" i="19"/>
  <c r="Z19" i="19"/>
  <c r="B30" i="32"/>
  <c r="S6" i="32"/>
  <c r="T8" i="32"/>
  <c r="C32" i="32"/>
  <c r="N21" i="19"/>
  <c r="V21" i="19"/>
  <c r="X21" i="19"/>
  <c r="I33" i="19"/>
  <c r="G33" i="19"/>
  <c r="AB21" i="19"/>
  <c r="Z21" i="19"/>
  <c r="K33" i="19"/>
  <c r="M33" i="19"/>
  <c r="S7" i="32"/>
  <c r="AC9" i="19"/>
  <c r="X22" i="19"/>
  <c r="V22" i="19"/>
  <c r="G34" i="19"/>
  <c r="I34" i="19"/>
  <c r="D33" i="32"/>
  <c r="K34" i="19"/>
  <c r="M34" i="19"/>
  <c r="Z22" i="19"/>
  <c r="AB22" i="19"/>
  <c r="S8" i="32"/>
  <c r="AC10" i="19"/>
  <c r="C33" i="32"/>
  <c r="N22" i="19"/>
  <c r="E32" i="19"/>
  <c r="D29" i="19"/>
  <c r="C32" i="19"/>
  <c r="N17" i="19"/>
  <c r="N20" i="19"/>
  <c r="M32" i="19"/>
  <c r="J29" i="19"/>
  <c r="K32" i="19"/>
  <c r="I32" i="19"/>
  <c r="G32" i="19"/>
  <c r="G29" i="19"/>
  <c r="AC8" i="19"/>
  <c r="AC6" i="19"/>
  <c r="N19" i="19"/>
  <c r="AC7" i="19"/>
  <c r="G31" i="19"/>
  <c r="G30" i="19"/>
  <c r="I31" i="19"/>
  <c r="K31" i="19"/>
  <c r="M31" i="19"/>
  <c r="J30" i="19"/>
  <c r="C31" i="19"/>
  <c r="E31" i="19"/>
  <c r="D30" i="19"/>
  <c r="BG51" i="21"/>
  <c r="BP51" i="21"/>
  <c r="AO51" i="21"/>
  <c r="BM51" i="21"/>
  <c r="Q51" i="21"/>
  <c r="BJ51" i="21"/>
  <c r="AL51" i="21"/>
  <c r="BD51" i="21"/>
  <c r="AF51" i="21"/>
  <c r="T51" i="21"/>
  <c r="AR51" i="21"/>
  <c r="BS51" i="21"/>
  <c r="AI51" i="21"/>
  <c r="K51" i="21"/>
  <c r="W51" i="21"/>
  <c r="AU51" i="21"/>
  <c r="N51" i="21"/>
  <c r="H51" i="21"/>
  <c r="E28" i="32" l="1"/>
  <c r="E33" i="32"/>
  <c r="U6" i="32"/>
  <c r="E31" i="32"/>
  <c r="U4" i="32"/>
  <c r="U3" i="32"/>
  <c r="U7" i="32"/>
  <c r="E29" i="32"/>
  <c r="E30" i="32"/>
  <c r="U5" i="32"/>
  <c r="U8" i="32"/>
  <c r="E32" i="32"/>
  <c r="D56" i="32"/>
  <c r="T29" i="32"/>
  <c r="B56" i="32"/>
  <c r="Q32" i="19"/>
  <c r="Q31" i="19"/>
  <c r="Q33" i="19"/>
  <c r="Q34" i="19"/>
  <c r="U34" i="19"/>
  <c r="U33" i="19"/>
  <c r="U31" i="19"/>
  <c r="U32" i="19"/>
  <c r="Y32" i="19"/>
  <c r="Y31" i="19"/>
  <c r="Y33" i="19"/>
  <c r="Y34" i="19"/>
  <c r="D57" i="32"/>
  <c r="C57" i="32"/>
  <c r="S29" i="32"/>
  <c r="T28" i="32"/>
  <c r="B57" i="32"/>
  <c r="C56" i="32"/>
  <c r="B60" i="32"/>
  <c r="B61" i="32"/>
  <c r="R33" i="19"/>
  <c r="T33" i="19"/>
  <c r="R32" i="32"/>
  <c r="R33" i="32"/>
  <c r="T34" i="19"/>
  <c r="R34" i="19"/>
  <c r="U30" i="19"/>
  <c r="U29" i="19"/>
  <c r="S28" i="32"/>
  <c r="R30" i="19"/>
  <c r="R29" i="19"/>
  <c r="X30" i="19"/>
  <c r="X29" i="19"/>
  <c r="W32" i="19"/>
  <c r="AA31" i="19"/>
  <c r="AA34" i="19"/>
  <c r="AA33" i="19"/>
  <c r="AA32" i="19"/>
  <c r="S32" i="19"/>
  <c r="S31" i="19"/>
  <c r="S34" i="19"/>
  <c r="S33" i="19"/>
  <c r="W34" i="19"/>
  <c r="W33" i="19"/>
  <c r="W31" i="19"/>
  <c r="S30" i="32"/>
  <c r="T33" i="32"/>
  <c r="D61" i="32"/>
  <c r="D58" i="32"/>
  <c r="S31" i="32"/>
  <c r="T31" i="32"/>
  <c r="T30" i="32"/>
  <c r="C58" i="32"/>
  <c r="D59" i="32"/>
  <c r="T32" i="19"/>
  <c r="S29" i="19"/>
  <c r="R32" i="19"/>
  <c r="R29" i="32"/>
  <c r="AC18" i="19"/>
  <c r="X32" i="19"/>
  <c r="V32" i="19"/>
  <c r="V29" i="19"/>
  <c r="AB32" i="19"/>
  <c r="Y29" i="19"/>
  <c r="Z32" i="19"/>
  <c r="R31" i="32"/>
  <c r="AC20" i="19"/>
  <c r="X31" i="19"/>
  <c r="V31" i="19"/>
  <c r="V30" i="19"/>
  <c r="B59" i="32"/>
  <c r="R28" i="32"/>
  <c r="AC17" i="19"/>
  <c r="T31" i="19"/>
  <c r="S30" i="19"/>
  <c r="R31" i="19"/>
  <c r="AB31" i="19"/>
  <c r="Y30" i="19"/>
  <c r="Z31" i="19"/>
  <c r="B58" i="32"/>
  <c r="C59" i="32"/>
  <c r="R30" i="32"/>
  <c r="AC19" i="19"/>
  <c r="T32" i="32"/>
  <c r="S32" i="32"/>
  <c r="AC21" i="19"/>
  <c r="AB33" i="19"/>
  <c r="Z33" i="19"/>
  <c r="C60" i="32"/>
  <c r="N33" i="19"/>
  <c r="X33" i="19"/>
  <c r="V33" i="19"/>
  <c r="D60" i="32"/>
  <c r="AB34" i="19"/>
  <c r="Z34" i="19"/>
  <c r="S33" i="32"/>
  <c r="AC22" i="19"/>
  <c r="X34" i="19"/>
  <c r="V34" i="19"/>
  <c r="C61" i="32"/>
  <c r="N34" i="19"/>
  <c r="N29" i="19"/>
  <c r="N32" i="19"/>
  <c r="N31" i="19"/>
  <c r="N30" i="19"/>
  <c r="U29" i="32" l="1"/>
  <c r="U31" i="32"/>
  <c r="U30" i="32"/>
  <c r="E58" i="32"/>
  <c r="U28" i="32"/>
  <c r="U33" i="32"/>
  <c r="E61" i="32"/>
  <c r="E56" i="32"/>
  <c r="E57" i="32"/>
  <c r="E59" i="32"/>
  <c r="U32" i="32"/>
  <c r="E60" i="32"/>
  <c r="T56" i="32"/>
  <c r="S57" i="32"/>
  <c r="R61" i="32"/>
  <c r="R60" i="32"/>
  <c r="T57" i="32"/>
  <c r="S56" i="32"/>
  <c r="T60" i="32"/>
  <c r="S58" i="32"/>
  <c r="S59" i="32"/>
  <c r="T61" i="32"/>
  <c r="T58" i="32"/>
  <c r="T59" i="32"/>
  <c r="R57" i="32"/>
  <c r="AC30" i="19"/>
  <c r="R59" i="32"/>
  <c r="AC32" i="19"/>
  <c r="R58" i="32"/>
  <c r="AC31" i="19"/>
  <c r="R56" i="32"/>
  <c r="AC29" i="19"/>
  <c r="S60" i="32"/>
  <c r="AC33" i="19"/>
  <c r="S61" i="32"/>
  <c r="AC34" i="19"/>
  <c r="U56" i="32" l="1"/>
  <c r="U59" i="32"/>
  <c r="U58" i="32"/>
  <c r="U57" i="32"/>
  <c r="U61" i="32"/>
  <c r="U60" i="3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tc={A58CB9FE-FBA2-461E-A4C3-AC91B8A7EC61}</author>
  </authors>
  <commentList>
    <comment ref="A56" authorId="0" shapeId="0" xr:uid="{A58CB9FE-FBA2-461E-A4C3-AC91B8A7EC61}">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3 à 4 ans en fonction du nombre de cultures. Par exemple une rotation MG-Soya-Blé de printemps représente un cycle de 3 ans (an 1 = MG, an 2 = Soya et an 3 = blé de printemps) tandis qu’une rotation Soya-Blé de printemps-Canola-Blé de printemps représente un cycle de 4 ans (an 1 = Soya, an 2 = Blé de printemps, an 3 = Canola et an 4 = Blé de printemps).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tc={74E71516-E233-4C2D-9878-F66567ED410C}</author>
    <author>tc={C89E7EA1-667B-47E8-8C83-2F07C43FDAD5}</author>
  </authors>
  <commentList>
    <comment ref="E2" authorId="0" shapeId="0" xr:uid="{74E71516-E233-4C2D-9878-F66567ED410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données du CECPA ne divisent pas les coûts de production de maïs-grain entre les régions centrales et les régions périphériques. Les coûts figurant ci-dessous correspondent donc aux coûts globaux pour le maïs-grain.</t>
        </r>
      </text>
    </comment>
    <comment ref="G20" authorId="1" shapeId="0" xr:uid="{C89E7EA1-667B-47E8-8C83-2F07C43FDAD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Si vous avez une charge globale, inscrivez la totalité de la charge dans une même cellule.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tc={948E878C-2CC3-4225-AA0E-8251E1595A7C}</author>
  </authors>
  <commentList>
    <comment ref="G19" authorId="0" shapeId="0" xr:uid="{948E878C-2CC3-4225-AA0E-8251E1595A7C}">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Si vous avez une charge globale, inscrivez la totalité de la charge dans une même cellule.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tc={045C6F67-E7BD-48D2-BFB3-3566746EBAA1}</author>
    <author>tc={18F773B7-354D-4D2B-8846-C9C4BE55F775}</author>
    <author>tc={3D4E1BA1-8DF7-4752-ABAA-95D4EBA3823F}</author>
    <author>tc={5C299C82-F4B1-4A05-B290-1265613C3EC8}</author>
  </authors>
  <commentList>
    <comment ref="E16" authorId="0" shapeId="0" xr:uid="{045C6F67-E7BD-48D2-BFB3-3566746EBAA1}">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Ce poste budgétaire inclut les charges de fertilisants et de chaux, qui sont regroupées dans les études de coûts du CECPA.</t>
        </r>
      </text>
    </comment>
    <comment ref="E20" authorId="1" shapeId="0" xr:uid="{18F773B7-354D-4D2B-8846-C9C4BE55F775}">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 location de machinerie et bâtiments, de fonds de terre et de travaux à forfait puisque les études de coûts du CECPA regroupent ces charges.</t>
        </r>
      </text>
    </comment>
    <comment ref="E24" authorId="2" shapeId="0" xr:uid="{3D4E1BA1-8DF7-4752-ABAA-95D4EBA3823F}">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charges d'entretien et réparation machinerie regroupent les charges de carburants et gaz propane pour refléter les charges "opérations culturales" dans les études de coûts du CECPA</t>
        </r>
      </text>
    </comment>
    <comment ref="E44" authorId="3" shapeId="0" xr:uid="{5C299C82-F4B1-4A05-B290-1265613C3EC8}">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poste "Autres frais" réfère au poste "Autres frais" des études de coûts du CECPA. Il est possible que ces autres coûts incluent les charges d'Assurances diverses, de taxes foncières et d'intérêts à moyen et long terme.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tc={7972F4D6-E57B-42AB-A598-56D56808FFE6}</author>
    <author>tc={6E1DBF73-ECE8-49E8-829A-5A9505D3E834}</author>
  </authors>
  <commentList>
    <comment ref="B3" authorId="0" shapeId="0" xr:uid="{7972F4D6-E57B-42AB-A598-56D56808FFE6}">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Les rendements retenus sont la moyenne des rendements de références de la FADQ de l'année 2022 pour les régions 1, 9 et 12.</t>
        </r>
      </text>
    </comment>
    <comment ref="B8" authorId="1" shapeId="0" xr:uid="{6E1DBF73-ECE8-49E8-829A-5A9505D3E834}">
      <text>
        <r>
          <rPr>
            <sz val="11"/>
            <color theme="1"/>
            <rFont val="Calibri"/>
            <family val="2"/>
            <scheme val="minor"/>
          </rPr>
          <t>[Threaded comment]
Your version of Excel allows you to read this threaded comment; however, any edits to it will get removed if the file is opened in a newer version of Excel. Learn more: https://go.microsoft.com/fwlink/?linkid=870924
Comment:
    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tc={3089A2C5-94B0-47A9-BCE6-E4859AF7263F}</author>
  </authors>
  <commentList>
    <comment ref="B3" authorId="0" shapeId="0" xr:uid="{3089A2C5-94B0-47A9-BCE6-E4859AF7263F}">
      <text>
        <r>
          <rPr>
            <sz val="11"/>
            <color theme="1"/>
            <rFont val="Calibri"/>
            <family val="2"/>
            <scheme val="minor"/>
          </rPr>
          <t xml:space="preserve">[Threaded comment]
Your version of Excel allows you to read this threaded comment; however, any edits to it will get removed if the file is opened in a newer version of Excel. Learn more: https://go.microsoft.com/fwlink/?linkid=870924
Comment:
    Les analyses sont effectuées sur trois cycles de rotation. Un cycle de rotation varie entre 3 à 4 ans en fonction du nombre de cultures. Par exemple une rotation MG-Soya-Blé de printemps représente un cycle de 3 ans (an 1 = MG, an 2 = Soya et an 3 = blé de printemps) tandis qu’une rotation Soya-Blé de printemps-Canola-Blé de printemps représente un cycle de 4 ans (an 1 = Soya, an 2 = Blé de printemps, an 3 = Canola et an 4 = Blé de printemps). </t>
        </r>
      </text>
    </comment>
  </commentList>
</comments>
</file>

<file path=xl/sharedStrings.xml><?xml version="1.0" encoding="utf-8"?>
<sst xmlns="http://schemas.openxmlformats.org/spreadsheetml/2006/main" count="865" uniqueCount="216">
  <si>
    <t>Maïs-grain</t>
  </si>
  <si>
    <t>Soya</t>
  </si>
  <si>
    <t>Orge</t>
  </si>
  <si>
    <t>Avoine</t>
  </si>
  <si>
    <t>Le modèle utilise les rendements ci-dessous pour la région sélectionnée. Si les rendements présents ne reflètent pas ceux observés sur votre ferme, nous vous invitons à les indiquer dans la colonne inscrite à cet effet. Si votre exploitation ne produit pas cette culture, ne rien inscrire dans la colonne.</t>
  </si>
  <si>
    <t>Rendements associés à la région</t>
  </si>
  <si>
    <t>Vos rendements</t>
  </si>
  <si>
    <t>Prix associés à la région</t>
  </si>
  <si>
    <t>Vos prix</t>
  </si>
  <si>
    <t>Le modèle utilise les prix ci-dessous. Si les prix présents ne reflètent pas ceux observés sur votre ferme, nous vous invitons à les indiquer dans la colonne inscrite à cet effet. Si votre exploitation ne produit pas cette culture, ne rien inscrire dans la colonne.</t>
  </si>
  <si>
    <t>Compensation d'assurance stabilisation</t>
  </si>
  <si>
    <t>PRODUITS</t>
  </si>
  <si>
    <t>TOTAL PRODUITS</t>
  </si>
  <si>
    <t xml:space="preserve">FRAIS VARIABLES  </t>
  </si>
  <si>
    <t>Fertilisants</t>
  </si>
  <si>
    <t>Chaulage</t>
  </si>
  <si>
    <t>Pesticides</t>
  </si>
  <si>
    <t>Location de machineries, bâtiments</t>
  </si>
  <si>
    <t>Location de fonds de terre</t>
  </si>
  <si>
    <t>Travaux à forfait</t>
  </si>
  <si>
    <t>Mais-d'oeuvre additionnelle</t>
  </si>
  <si>
    <t>Entretien et réparation machinerie</t>
  </si>
  <si>
    <t>Carburants</t>
  </si>
  <si>
    <t>Gaz propane</t>
  </si>
  <si>
    <t>Électricité</t>
  </si>
  <si>
    <t>Frais de mise en marché</t>
  </si>
  <si>
    <t>Intérêts sur emprunt à court terme</t>
  </si>
  <si>
    <t>Sous-total</t>
  </si>
  <si>
    <t>Contribution d'assurance stabilisation</t>
  </si>
  <si>
    <t>Contribution aux autres programmes</t>
  </si>
  <si>
    <t>FRAIS FIXES</t>
  </si>
  <si>
    <t>Entretien bâtiments et fonds de terre</t>
  </si>
  <si>
    <t>MARGE BÉNÉFICIAIRE APRÈS COÛTS VARIABLES</t>
  </si>
  <si>
    <t>Assurances diverses</t>
  </si>
  <si>
    <t>Taxes foncières</t>
  </si>
  <si>
    <t>Intérêts sur emprunts à moyen et long terme</t>
  </si>
  <si>
    <t>Autres frais</t>
  </si>
  <si>
    <t>Revenus de sous-produits</t>
  </si>
  <si>
    <t>Autres revenus</t>
  </si>
  <si>
    <t>MARGE BÉNÉFICIAIRE APRÈS FRAIS MONÉTAIRES</t>
  </si>
  <si>
    <t>Amortissements</t>
  </si>
  <si>
    <t>Rénumération du travail de l'exploitant</t>
  </si>
  <si>
    <t>Rénumération de l'avoir du propriétaire</t>
  </si>
  <si>
    <t>MARGE BÉNÉFICIAIRE APRÈS LES AMORTISSEMENTS ET LES RÉNUMÉRATIONS DU TRAVAIL ET DE L'AVOIR</t>
  </si>
  <si>
    <t>tm/ha</t>
  </si>
  <si>
    <t>$/tm</t>
  </si>
  <si>
    <t>Blé d'automne</t>
  </si>
  <si>
    <t>Blé de printemps</t>
  </si>
  <si>
    <t>Vos coûts</t>
  </si>
  <si>
    <t>Vos Coûts</t>
  </si>
  <si>
    <t>Conventionnelle</t>
  </si>
  <si>
    <t>Région &amp; Régie</t>
  </si>
  <si>
    <t>Région et Régie</t>
  </si>
  <si>
    <t>RENDEMENT</t>
  </si>
  <si>
    <t>PRIX</t>
  </si>
  <si>
    <t>RÉGION</t>
  </si>
  <si>
    <t>TYPE DE RÉGIE</t>
  </si>
  <si>
    <t>OBJECTIFS</t>
  </si>
  <si>
    <t>DESCRIPTION DES ONGLETS</t>
  </si>
  <si>
    <t>Saisie</t>
  </si>
  <si>
    <t>LIMITES</t>
  </si>
  <si>
    <t>CONTACTS</t>
  </si>
  <si>
    <t>$/ha</t>
  </si>
  <si>
    <t>MARGE BÉNÉFICIAIRE APRÈS FRAIS MONÉTAIRES (MARGE MONÉTAIRE)</t>
  </si>
  <si>
    <t>MARGE BÉNÉFICIAIRE APRÈS COÛTS VARIABLES (MARGE VARIABLE)</t>
  </si>
  <si>
    <t>MARGE BÉNÉFICIAIRE APRÈS LES AMORTISSEMENTS ET LES RÉNUMÉRATIONS DU TRAVAIL ET DE L'AVOIR (MARGE NETTE)</t>
  </si>
  <si>
    <t>Prix de marché</t>
  </si>
  <si>
    <t>Rendement du modèle</t>
  </si>
  <si>
    <t>Revenu stabilisé ajusté</t>
  </si>
  <si>
    <t>Blé d'alimentation humaine</t>
  </si>
  <si>
    <t>Blé d'alimentation animale</t>
  </si>
  <si>
    <t>2020-2021</t>
  </si>
  <si>
    <t>Votre ferme</t>
  </si>
  <si>
    <t>Vente</t>
  </si>
  <si>
    <t>Semence</t>
  </si>
  <si>
    <t>An 1</t>
  </si>
  <si>
    <t>An 2</t>
  </si>
  <si>
    <t>An 3</t>
  </si>
  <si>
    <t>An 4</t>
  </si>
  <si>
    <t>An 5</t>
  </si>
  <si>
    <t>An 6</t>
  </si>
  <si>
    <t>Résultats du modèle</t>
  </si>
  <si>
    <t>Marge bénéficiaire après coûts variables (marge variable)</t>
  </si>
  <si>
    <t>Moyenne annuelle</t>
  </si>
  <si>
    <t>Marge bénéficiaire après frais monétaire (marge monétaire)</t>
  </si>
  <si>
    <t>Marge bénéficiaire après les amortissements et les rémunérations du travail et de l'avoir (marge nette)</t>
  </si>
  <si>
    <t>Résultats de votre ferme</t>
  </si>
  <si>
    <t>RÉSULTATS DU MODÈLE</t>
  </si>
  <si>
    <t>Année</t>
  </si>
  <si>
    <t>Lieu</t>
  </si>
  <si>
    <t>Résultats</t>
  </si>
  <si>
    <t>Sources</t>
  </si>
  <si>
    <t>Guelph, Ontario</t>
  </si>
  <si>
    <t>Rotations</t>
  </si>
  <si>
    <t>A. Monoculture maïs
B. Maïs-Soya
C. Maïs-Soya-Blé d'automne
D. Maïs-Soya-Blé d'automne_CC de trèfle rouge dans blé d'automne</t>
  </si>
  <si>
    <t>La rotation B permet des rendements de maïs entre 5-27 % plus élevée que la monoculture de maïs, et de soya entre 5-17 % plus élevé que la monoculture de soya.
La rotation C permet des rendements de maïs de 12 % plus élevé que la rotation B, et des gains de rendements de soya de 10 % plus élevé que la rotation B.
L'ajout de trèfle rouge augmente les rendements de 5 %.</t>
  </si>
  <si>
    <t>Pennsylvanie</t>
  </si>
  <si>
    <t>A. Monoculture maïs
B. Maïs-Soya
C. 4 X Maïs- 4 X Luzerne
D. Maïs-Avoine/Blé- 2 X Trèfle Rouge / Fléole des prés</t>
  </si>
  <si>
    <t>La rotation C permet des rendement de maïs entre 7 et 12 % plus élevée que la monoculture de maïs.</t>
  </si>
  <si>
    <t>Saint-Hyacinthe et Normandin</t>
  </si>
  <si>
    <t>A. Monoculture maïs
B. Monoculture soya
C. Maïs-soya
D. Maïs-soya-Blé</t>
  </si>
  <si>
    <t xml:space="preserve">La rotation permet des gains de rendements de maïs de 6.8 % lorsqu'il y a labour et de 7.7 % lorsqu'il y a chisel par rapport à la monoculture.
La rotation permet des gains de rendement du soya de 6.3 % lorsqu'il y a labour et de 3.5 % lorsqu'il y a chisel par rapport à la monoculture. </t>
  </si>
  <si>
    <t>Beloeil</t>
  </si>
  <si>
    <t>A. Monoculture de maïs
B. Maïs-Soya-Blé
C. Maïs-Soya-Blé-3X Prairie
D. Prairie</t>
  </si>
  <si>
    <t>La rotation B permet des gains de rendements du maïs-grain de 14 % par rapport à la monoculture de maïs.
La rotation C permet des gains de rendements de maïs-grain de 11 % par rapport à la monoculture de maïs.</t>
  </si>
  <si>
    <r>
      <t xml:space="preserve">Tremblay G. (2016) </t>
    </r>
    <r>
      <rPr>
        <i/>
        <sz val="11"/>
        <color theme="1"/>
        <rFont val="Calibri"/>
        <family val="2"/>
        <scheme val="minor"/>
      </rPr>
      <t>Bénéfices des rotations en grandes cultures</t>
    </r>
    <r>
      <rPr>
        <sz val="11"/>
        <color theme="1"/>
        <rFont val="Calibri"/>
        <family val="2"/>
        <scheme val="minor"/>
      </rPr>
      <t>. Drummondville : CÉROM. 42 pages.</t>
    </r>
  </si>
  <si>
    <t>GAINS AGRONOMIQUES DE LA ROTATION ET CULTURES DE COUVERTURE</t>
  </si>
  <si>
    <t>Semences</t>
  </si>
  <si>
    <t>Gains de rendement</t>
  </si>
  <si>
    <t>Vos gains de rendement</t>
  </si>
  <si>
    <t>1. Les gains agronomiques considérés dans ce modèle correspondent à l'augmentation de rendement attendu par la diversification des rotations et l'ajout d'une culture de couverture et à nombre d'unités d'azote fourni par la culture de couverture.</t>
  </si>
  <si>
    <t>Gains azotés</t>
  </si>
  <si>
    <t>Unités d'azote</t>
  </si>
  <si>
    <t>Vos gains azoté</t>
  </si>
  <si>
    <t>% de gains agronomiques lors de la première rotation</t>
  </si>
  <si>
    <t xml:space="preserve">% de gains agronomiques  </t>
  </si>
  <si>
    <t>% de gains de votre ferme</t>
  </si>
  <si>
    <t>Cet onglet présente les modèles utilisés pour générer les coûts de production des cultures. L'utilisateur peut modifier les coûts pour refléter sa situation. Si un poste de dépenses ou de revenus n'est pas modifié par l'utilisateur, le modèle sélectionnera la donnée inscrite dans la région centrale ou périphérique.</t>
  </si>
  <si>
    <t>ASRA_Calculs</t>
  </si>
  <si>
    <t>Rendements_CECPA / Prix_CECPA</t>
  </si>
  <si>
    <t>Le modèle retient les données initiales du CECPA quant au prix et au rendement des différentes cultures. Ces données pourraient être mises à jour périodiquement.</t>
  </si>
  <si>
    <t>Le modèle retient les données de l'ASRA pour calculer le prix minimal attendu par le producteur agricole. Les données de cet onglet devront être mis à jour annuellement.</t>
  </si>
  <si>
    <t>Intermédiaire_Prod-Résultats</t>
  </si>
  <si>
    <t>Cet onglet lie les données inscrites par l'usager et les résultats.</t>
  </si>
  <si>
    <t>Cet onglet présente les résultats des marges bénéficiaires brutes, des marges monétaires et des marges nettes pour différentes rotations. Les résultats sont divisés entre ceux obtenus par le modèle (bleu) et ceux incorporant les modifications effectuées par l'usager (orange).</t>
  </si>
  <si>
    <r>
      <t>Le modèle utilise les gains agronomiques</t>
    </r>
    <r>
      <rPr>
        <vertAlign val="superscript"/>
        <sz val="11"/>
        <color theme="1"/>
        <rFont val="Calibri"/>
        <family val="2"/>
        <scheme val="minor"/>
      </rPr>
      <t>1</t>
    </r>
    <r>
      <rPr>
        <sz val="11"/>
        <color theme="1"/>
        <rFont val="Calibri"/>
        <family val="2"/>
        <scheme val="minor"/>
      </rPr>
      <t xml:space="preserve"> ci-dessous. Si ces gains ne reflètent pas ceux observés sur votre ferme, nous vous invitons à les indiquer dans la colonne inscrite à cet effet. Si votre exploitation ne produit pas cette culture, ne rien inscrire dans la colonne. Si aucunes cultures de couverture ou engrais verts ne sont considérés par votre entreprise, inscrire 0 dans la case de gains azotée prévue à cet effet.</t>
    </r>
  </si>
  <si>
    <t>Total ($/ha)</t>
  </si>
  <si>
    <t>Coûts de semences</t>
  </si>
  <si>
    <t>Opérations de semis</t>
  </si>
  <si>
    <t>Mélange avoine-pois-radis précédant un maïs</t>
  </si>
  <si>
    <t>Québec</t>
  </si>
  <si>
    <t>Rotation</t>
  </si>
  <si>
    <t>Cultures de couverture</t>
  </si>
  <si>
    <t>Les cultures de couverture en A permettent une augmentation du rendement de maïs de 13 % et des céréales de 22 %. Aucun impact dans le soya.
Les cultures de couverture en B permettent une augmentation du rendement de maïs de 11 % et des céréales de 11 %. Aucun impact dans le soya.</t>
  </si>
  <si>
    <t>A. Tous types de cultures de couverture, tout mode d'implantation
B. Tous types de cultures de couverture, implantation en dérobé et intercalaire.</t>
  </si>
  <si>
    <r>
      <t xml:space="preserve">Vanasse A., Thibaudeau S. &amp; Weill A. (2022). </t>
    </r>
    <r>
      <rPr>
        <i/>
        <sz val="11"/>
        <color theme="1"/>
        <rFont val="Calibri"/>
        <family val="2"/>
        <scheme val="minor"/>
      </rPr>
      <t xml:space="preserve">Guide des cultures de couverture en grandes cultures. </t>
    </r>
    <r>
      <rPr>
        <sz val="11"/>
        <color theme="1"/>
        <rFont val="Calibri"/>
        <family val="2"/>
        <scheme val="minor"/>
      </rPr>
      <t>Centre de référence en agriculture et agroalimentaire au Québec (CRAAQ). 204 pages.</t>
    </r>
  </si>
  <si>
    <t>Pois fourrager</t>
  </si>
  <si>
    <t>Quantité (kg/ha)</t>
  </si>
  <si>
    <t>Prix ($/25kg)</t>
  </si>
  <si>
    <t>Coûts de semis-direct</t>
  </si>
  <si>
    <t>Coût total de la culture de couverture</t>
  </si>
  <si>
    <t>Présence de cultures de couverture</t>
  </si>
  <si>
    <t>Aucun gains agronomiques</t>
  </si>
  <si>
    <t>50 % de gains agronomiques</t>
  </si>
  <si>
    <t>Oui</t>
  </si>
  <si>
    <t>Correspond à un mélange de pois fourrager, avoine et radis huileux. Les doses de semis proviennent du guide des cultures de couverture en grandes cultures provenant du CRAAQ. Le coût des semences provient des références économiques du CRAAQ sur les grains de semences. Le coût du semis-direct provient des références économique du CRAAQ sur la machinerie.</t>
  </si>
  <si>
    <t>Revenus de pailles</t>
  </si>
  <si>
    <t>Coût unitaire de l'azote</t>
  </si>
  <si>
    <t>100 % de gains agronomiques</t>
  </si>
  <si>
    <t>Total des intrants</t>
  </si>
  <si>
    <t>Main-d'oeuvre additionnelle</t>
  </si>
  <si>
    <t>Cet outil documente plusieurs types de marges bénéficiaires attendus selon la rotation employée. Cet outil se veut une aide à la décision pour le producteur agricole.</t>
  </si>
  <si>
    <t>Total des frais de machinerie et main-d'oeuvre</t>
  </si>
  <si>
    <t>Total des autres frais directs</t>
  </si>
  <si>
    <r>
      <t xml:space="preserve">Gaudin A.C.M., Tolhurst T.N., Ker A.P., Janovicek K., Tortora C., et al. (2015). Increasing Crop Diversity Mitigates Weather Variations and Improves Yield Stability. Dans </t>
    </r>
    <r>
      <rPr>
        <i/>
        <sz val="11"/>
        <color theme="1"/>
        <rFont val="Calibri"/>
        <family val="2"/>
        <scheme val="minor"/>
      </rPr>
      <t>Plos One</t>
    </r>
    <r>
      <rPr>
        <sz val="11"/>
        <color theme="1"/>
        <rFont val="Calibri"/>
        <family val="2"/>
        <scheme val="minor"/>
      </rPr>
      <t>. Vol 10(2). 20 pages.</t>
    </r>
  </si>
  <si>
    <t>A. Monoculture maïs
B. Maïs-Maïs-Soya-Soya
C. Maïs-Maïs-Luzerne-Luzerne
D. Maïs-Maïs-Soya-Blé d'automne
E. Maïs-Maïs-Avoine-Orge
F. Maïs-Maïs-Soya-Blé d'automne_CC de trèfle rouge dans blé d'automne
G. Maïs-Maïs-Avoine_CC de trèfle rouge dans l'avoine-Orge_CC de trèfle rouge dans l'orge</t>
  </si>
  <si>
    <t xml:space="preserve">La rotation B n'a aucune différence significative avec la rotation A. 
La rotation C permet des rendements de maïs 10 % plus élevés.
La rotation D n'a aucune différence significative pour le rendement du maïs que la rotation B, mais permet des rendements 14 % plus élevés pour le soya que la rotation B.
Les rotations E et F n'ont aucunes différences significatives avec la rotation B. 
La rotation G permet des rendements de 6 % plus élevés que la rotation B.
</t>
  </si>
  <si>
    <t>An 7</t>
  </si>
  <si>
    <t>An 8</t>
  </si>
  <si>
    <t>An 9</t>
  </si>
  <si>
    <t>An 10</t>
  </si>
  <si>
    <t>Périphérique</t>
  </si>
  <si>
    <t>Périphérique Conventionnelle</t>
  </si>
  <si>
    <t>Canola</t>
  </si>
  <si>
    <t>Il est à noter que cet outil est un outil d'aide à la décision et il doit être utiliser uniquement en ce sens. Avant de prendre des décisions de production, nous recommandons à ce que le producteur consulte son agronome-conseil pour prendre en compte tous les facteurs spécifiques à son entreprise agricole.  Toutes décisions prises par les producteurs à l'aide de cet outil sont la responsabilité du producteur agricole et n'engage en aucun cas le groupe Concertation Grains Québec et les auteurs de l'outil.</t>
  </si>
  <si>
    <t>Marlène Thiboutot, Concertation Grains Québec.</t>
  </si>
  <si>
    <t>marlenethiboutot@concertationgrainsquebec.ca</t>
  </si>
  <si>
    <t>GAINS PROGRESSIFS</t>
  </si>
  <si>
    <t>Agri-Québec et Agri-Investissement</t>
  </si>
  <si>
    <t>Sarrasin</t>
  </si>
  <si>
    <t>-</t>
  </si>
  <si>
    <t>An 11</t>
  </si>
  <si>
    <t>An 12</t>
  </si>
  <si>
    <t>FRAIS NON MONÉTAIRES</t>
  </si>
  <si>
    <t>AUTRES PRATIQUES BÉNÉFIQUES</t>
  </si>
  <si>
    <t>Rendements utilisés par le modèle (t/ha)</t>
  </si>
  <si>
    <t>Prix utilisés par le modèle ($/t)</t>
  </si>
  <si>
    <t>Blé de printemps panifiable</t>
  </si>
  <si>
    <t>Blé d'automne panifiable</t>
  </si>
  <si>
    <t>Cette section vous permet d'inscrire d'autres coûts de pratiques de gestion bénéfiques que vous utilisez sur votre production agricole. Considérez ici tous les coûts et bénéfices enregistrés sur votre entreprise agricole pour une rotation.</t>
  </si>
  <si>
    <t>Autres coûts</t>
  </si>
  <si>
    <t>Vos autres coûts</t>
  </si>
  <si>
    <t>CONCEPTEURS</t>
  </si>
  <si>
    <t>MG - SOYA - BLÉ DE PRINTEMPS PANIFIABLE</t>
  </si>
  <si>
    <t>MG - SOYA - BLÉ D'AUTOMNE PANIFIABLE</t>
  </si>
  <si>
    <t>SOYA - AVOINE - CANOLA - AVOINE</t>
  </si>
  <si>
    <t>SOYA - ORGE - CANOLA - ORGE</t>
  </si>
  <si>
    <t>SOYA - BLÉ D'AUTOMNE PANIFIABLE - CANOLA - BLÉ D'AUTOMNE PANIFIABLE</t>
  </si>
  <si>
    <t>SOYA - BLÉ DE PRINTEMPS PANIFIABLE - CANOLA - BLÉ DE PRINTEMPS PANIFIABLE</t>
  </si>
  <si>
    <t>CYCLE 1</t>
  </si>
  <si>
    <t>CYCLE 2</t>
  </si>
  <si>
    <t>CYCLE 3</t>
  </si>
  <si>
    <t>Cet onglet permet de modifier les données initiales de l'entreprise agricole, notamment quant aux prix et aux rendements des différentes cultures. Le producteur peut donc inscrire ses propres prix et le rendement attendu dans les colonnes "Vos prix" et "Vos rendements". Si votre exploitation ne cultive pas cette production, ne rien inscrire dans la colonne "Vos rendements".
L'outil considère des gains agronomiques liés à la diversification de la rotation et à l'ajout d'une culture de couverture. Vous pouvez inscrire les gains agronomiques attendus liés à la diversification de la rotation dans la colonne "Vos gains agronomiques". De plus, nous considérons que la culture de couverture permet de compenser pour la fertilisation azotée. Vous pouvez inscrire la compensation azotée attendue dans vos champs.
Enfin, cet outil prend en compte que les gains provenant de la diversification de la rotation et de l'ajout de culture de couverture n'est pas instantanné. Ainsi, l'outil permet d'ajuster la portion des gains agronomiques attendus selon le cycle de rotation.</t>
  </si>
  <si>
    <t>Gains agronomiques</t>
  </si>
  <si>
    <t>Cet onglet présente les différents gains agronomiques attendus lors de la diversification de la rotation et l'ajout de cultures de couverture. Ces données devront être mises à jour périodiquement.</t>
  </si>
  <si>
    <t>Cet onglet présente les coûts relatifs à la cultures de couverture.</t>
  </si>
  <si>
    <t>Résultats détaillés</t>
  </si>
  <si>
    <t>Résultats sommaires</t>
  </si>
  <si>
    <t>Cet onglet présente les résultats des marges bénéficiaires brutes, des marges monétaires et des marges nettes selon les différents cycles de rotations. Les résultats sont divisés entre ceux obtenus par le modèle (bleu) et ceux incorporant les modifications effectuées par l'usager (orange). Il s'agit d'une récapitulation des résultats.</t>
  </si>
  <si>
    <t>Le présent outil est la propriété de Lota D. Tamini et de Philippe Leriche. Les propriétaires autorisent le groupe Concertation Grains Québec à diffuser l'outil, mais n'autorisent pas la commercialisation de celui-ci. Toutes autres diffusions ou commercialisations ne peuvent se faire sans l'autorisation écrites de ses propriétaires.</t>
  </si>
  <si>
    <t>Maïs-grain / Canola / Soya / Orge / Avoine / Blé d'automne / Blé de printemps / Sarrasin</t>
  </si>
  <si>
    <t>Le modèle considère que les gains agronomiques attendus ne seront pas perçus lors du premier cycle de rotation puisqu'il y a une courbe d'apprentissage lorsque l'on se familiarise avec une nouvelle technique et pour prendre en compte l'amélioration progressive de la terre. Le modèle considère donc des portions des gains agronomiques présentés ici. Si ces gains ne reflètent pas ceux observés sur votre ferme, nous vous invitons à les indiquer dans la colonne inscrite à cet effet.</t>
  </si>
  <si>
    <t>Gains agronomiques - Cycle 1</t>
  </si>
  <si>
    <t>Gains agronomiques - Cycle 2</t>
  </si>
  <si>
    <t>Gains agronomiques - Cycle 3</t>
  </si>
  <si>
    <t>ROTATIONS</t>
  </si>
  <si>
    <t>Moyenne annuelle 
Cycle 1</t>
  </si>
  <si>
    <t>Moyenne annuelle 
Cycle 2</t>
  </si>
  <si>
    <t>Moyenne annuelle 
Cycle 3</t>
  </si>
  <si>
    <t>Moyenne annuelle des trois cycles</t>
  </si>
  <si>
    <t>Marge bénéficiaire après frais variables, moyenne annuelle ($/ha)</t>
  </si>
  <si>
    <t>Marge bénéficiaire après frais monétaires, moyenne annuelle ($/ha)</t>
  </si>
  <si>
    <t>Marge bénéficiaire après les amortissements et les rémunérations du travail et de l'avoir, moyenne annuelle ($/ha)</t>
  </si>
  <si>
    <t>Marge bénéficiaire après frais variables de votre ferme, moyenne annuelle ($/ha)</t>
  </si>
  <si>
    <t>Marge bénéficiaire après frais monétaires de votre ferme, moyenne annuelle ($/ha)</t>
  </si>
  <si>
    <t>Marge bénéficiaire après les amortissements et les rémunérations du travail et de l'avoir de votre ferme, moyenne annuelle ($/ha)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</si>
</sst>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quot;$&quot;* #,##0.00_-;\-&quot;$&quot;* #,##0.00_-;_-&quot;$&quot;* &quot;-&quot;??_-;_-@_-"/>
    <numFmt numFmtId="165" formatCode="0.0"/>
    <numFmt numFmtId="166" formatCode="#\ ##0\ &quot;$&quot;"/>
  </numFmts>
  <fonts count="10" x14ac:knownFonts="1">
    <font>
      <sz val="11"/>
      <color theme="1"/>
      <name val="Calibri"/>
      <family val="2"/>
      <scheme val="minor"/>
    </font>
    <font>
      <b/>
      <sz val="11"/>
      <color theme="1"/>
      <name val="Calibri"/>
      <family val="2"/>
      <scheme val="minor"/>
    </font>
    <font>
      <vertAlign val="superscript"/>
      <sz val="11"/>
      <color theme="1"/>
      <name val="Calibri"/>
      <family val="2"/>
      <scheme val="minor"/>
    </font>
    <font>
      <b/>
      <sz val="12"/>
      <color theme="1"/>
      <name val="Calibri"/>
      <family val="2"/>
      <scheme val="minor"/>
    </font>
    <font>
      <b/>
      <sz val="14"/>
      <color theme="1"/>
      <name val="Calibri"/>
      <family val="2"/>
      <scheme val="minor"/>
    </font>
    <font>
      <i/>
      <sz val="11"/>
      <color theme="1"/>
      <name val="Calibri"/>
      <family val="2"/>
      <scheme val="minor"/>
    </font>
    <font>
      <sz val="8"/>
      <name val="Calibri"/>
      <family val="2"/>
      <scheme val="minor"/>
    </font>
    <font>
      <u/>
      <sz val="11"/>
      <color theme="10"/>
      <name val="Calibri"/>
      <family val="2"/>
      <scheme val="minor"/>
    </font>
    <font>
      <sz val="12"/>
      <color theme="1"/>
      <name val="Calibri"/>
      <family val="2"/>
      <scheme val="minor"/>
    </font>
    <font>
      <sz val="1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theme="5" tint="0.59999389629810485"/>
        <bgColor indexed="64"/>
      </patternFill>
    </fill>
    <fill>
      <patternFill patternType="solid">
        <fgColor theme="5" tint="0.39997558519241921"/>
        <bgColor indexed="64"/>
      </patternFill>
    </fill>
  </fills>
  <borders count="34">
    <border>
      <left/>
      <right/>
      <top/>
      <bottom/>
      <diagonal/>
    </border>
    <border>
      <left style="dashed">
        <color auto="1"/>
      </left>
      <right style="dashed">
        <color auto="1"/>
      </right>
      <top style="dashed">
        <color auto="1"/>
      </top>
      <bottom style="dashed">
        <color auto="1"/>
      </bottom>
      <diagonal/>
    </border>
    <border>
      <left/>
      <right/>
      <top style="thin">
        <color auto="1"/>
      </top>
      <bottom/>
      <diagonal/>
    </border>
    <border>
      <left style="dashed">
        <color auto="1"/>
      </left>
      <right style="dashed">
        <color auto="1"/>
      </right>
      <top style="dashed">
        <color auto="1"/>
      </top>
      <bottom/>
      <diagonal/>
    </border>
    <border>
      <left/>
      <right/>
      <top style="thin">
        <color indexed="64"/>
      </top>
      <bottom style="double">
        <color indexed="64"/>
      </bottom>
      <diagonal/>
    </border>
    <border>
      <left/>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dashed">
        <color auto="1"/>
      </top>
      <bottom/>
      <diagonal/>
    </border>
    <border>
      <left/>
      <right/>
      <top style="dashed">
        <color auto="1"/>
      </top>
      <bottom style="dashed">
        <color auto="1"/>
      </bottom>
      <diagonal/>
    </border>
    <border>
      <left/>
      <right/>
      <top style="dashed">
        <color auto="1"/>
      </top>
      <bottom style="thin">
        <color indexed="64"/>
      </bottom>
      <diagonal/>
    </border>
    <border>
      <left style="dashed">
        <color indexed="64"/>
      </left>
      <right/>
      <top style="thin">
        <color indexed="64"/>
      </top>
      <bottom style="thin">
        <color indexed="64"/>
      </bottom>
      <diagonal/>
    </border>
    <border>
      <left style="dashed">
        <color indexed="64"/>
      </left>
      <right/>
      <top style="thin">
        <color indexed="64"/>
      </top>
      <bottom style="dashed">
        <color indexed="64"/>
      </bottom>
      <diagonal/>
    </border>
    <border>
      <left style="thin">
        <color indexed="64"/>
      </left>
      <right style="thin">
        <color indexed="64"/>
      </right>
      <top/>
      <bottom/>
      <diagonal/>
    </border>
    <border>
      <left style="thin">
        <color indexed="64"/>
      </left>
      <right/>
      <top/>
      <bottom style="dashed">
        <color indexed="64"/>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right style="thin">
        <color auto="1"/>
      </right>
      <top/>
      <bottom/>
      <diagonal/>
    </border>
    <border>
      <left/>
      <right style="thin">
        <color auto="1"/>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auto="1"/>
      </right>
      <top/>
      <bottom style="thin">
        <color indexed="64"/>
      </bottom>
      <diagonal/>
    </border>
    <border>
      <left style="thin">
        <color indexed="64"/>
      </left>
      <right/>
      <top/>
      <bottom style="thin">
        <color indexed="64"/>
      </bottom>
      <diagonal/>
    </border>
  </borders>
  <cellStyleXfs count="2">
    <xf numFmtId="0" fontId="0" fillId="0" borderId="0"/>
    <xf numFmtId="0" fontId="7" fillId="0" borderId="0" applyNumberFormat="0" applyFill="0" applyBorder="0" applyAlignment="0" applyProtection="0"/>
  </cellStyleXfs>
  <cellXfs count="119">
    <xf numFmtId="0" fontId="0" fillId="0" borderId="0" xfId="0"/>
    <xf numFmtId="0" fontId="1" fillId="0" borderId="0" xfId="0" applyFont="1"/>
    <xf numFmtId="0" fontId="1" fillId="0" borderId="0" xfId="0" applyFont="1" applyAlignment="1">
      <alignment horizontal="center"/>
    </xf>
    <xf numFmtId="2" fontId="0" fillId="0" borderId="0" xfId="0" applyNumberFormat="1"/>
    <xf numFmtId="2" fontId="1" fillId="0" borderId="0" xfId="0" applyNumberFormat="1" applyFont="1"/>
    <xf numFmtId="2" fontId="0" fillId="2" borderId="1" xfId="0" applyNumberFormat="1" applyFill="1" applyBorder="1"/>
    <xf numFmtId="2" fontId="1" fillId="0" borderId="2" xfId="0" applyNumberFormat="1" applyFont="1" applyBorder="1"/>
    <xf numFmtId="0" fontId="1" fillId="0" borderId="2" xfId="0" applyFont="1" applyBorder="1"/>
    <xf numFmtId="2" fontId="0" fillId="2" borderId="3" xfId="0" applyNumberFormat="1" applyFill="1" applyBorder="1"/>
    <xf numFmtId="2" fontId="1" fillId="0" borderId="4" xfId="0" applyNumberFormat="1" applyFont="1" applyBorder="1"/>
    <xf numFmtId="0" fontId="1" fillId="0" borderId="5" xfId="0" applyFont="1" applyBorder="1"/>
    <xf numFmtId="0" fontId="0" fillId="0" borderId="5" xfId="0" applyBorder="1"/>
    <xf numFmtId="0" fontId="1" fillId="0" borderId="0" xfId="0" applyFont="1" applyAlignment="1">
      <alignment vertical="center"/>
    </xf>
    <xf numFmtId="0" fontId="1" fillId="0" borderId="0" xfId="0" applyFont="1" applyAlignment="1">
      <alignment vertical="center" wrapText="1"/>
    </xf>
    <xf numFmtId="0" fontId="3" fillId="0" borderId="0" xfId="0" applyFont="1" applyAlignment="1">
      <alignment horizontal="center"/>
    </xf>
    <xf numFmtId="0" fontId="1" fillId="0" borderId="8" xfId="0" applyFont="1" applyBorder="1" applyAlignment="1">
      <alignment horizontal="center"/>
    </xf>
    <xf numFmtId="0" fontId="1" fillId="0" borderId="6" xfId="0" applyFont="1" applyBorder="1" applyAlignment="1">
      <alignment horizontal="center"/>
    </xf>
    <xf numFmtId="2" fontId="0" fillId="0" borderId="10" xfId="0" applyNumberFormat="1" applyBorder="1"/>
    <xf numFmtId="2" fontId="0" fillId="0" borderId="11" xfId="0" applyNumberFormat="1" applyBorder="1"/>
    <xf numFmtId="0" fontId="0" fillId="0" borderId="12" xfId="0" applyBorder="1"/>
    <xf numFmtId="0" fontId="1" fillId="0" borderId="7" xfId="0" applyFont="1" applyBorder="1" applyAlignment="1">
      <alignment horizontal="center"/>
    </xf>
    <xf numFmtId="2" fontId="0" fillId="0" borderId="9" xfId="0" applyNumberFormat="1" applyBorder="1"/>
    <xf numFmtId="0" fontId="0" fillId="3" borderId="0" xfId="0" applyFill="1" applyAlignment="1">
      <alignment horizontal="center"/>
    </xf>
    <xf numFmtId="0" fontId="0" fillId="4" borderId="0" xfId="0" applyFill="1" applyAlignment="1">
      <alignment horizontal="center"/>
    </xf>
    <xf numFmtId="0" fontId="0" fillId="5" borderId="1" xfId="0" applyFill="1" applyBorder="1"/>
    <xf numFmtId="0" fontId="3" fillId="4" borderId="5" xfId="0" applyFont="1" applyFill="1" applyBorder="1" applyAlignment="1">
      <alignment horizontal="center"/>
    </xf>
    <xf numFmtId="0" fontId="3" fillId="6" borderId="5" xfId="0" applyFont="1" applyFill="1" applyBorder="1" applyAlignment="1">
      <alignment horizontal="center"/>
    </xf>
    <xf numFmtId="0" fontId="0" fillId="0" borderId="0" xfId="0" applyAlignment="1">
      <alignment vertical="center"/>
    </xf>
    <xf numFmtId="0" fontId="0" fillId="0" borderId="0" xfId="0" applyAlignment="1">
      <alignment vertical="center" wrapText="1"/>
    </xf>
    <xf numFmtId="0" fontId="1" fillId="0" borderId="0" xfId="0" applyFont="1" applyAlignment="1">
      <alignment horizontal="left" wrapText="1"/>
    </xf>
    <xf numFmtId="9" fontId="0" fillId="0" borderId="0" xfId="0" applyNumberFormat="1"/>
    <xf numFmtId="0" fontId="0" fillId="0" borderId="0" xfId="0" applyAlignment="1">
      <alignment horizontal="center"/>
    </xf>
    <xf numFmtId="0" fontId="0" fillId="0" borderId="0" xfId="0" applyAlignment="1">
      <alignment horizontal="left" wrapText="1"/>
    </xf>
    <xf numFmtId="0" fontId="0" fillId="0" borderId="0" xfId="0" applyAlignment="1">
      <alignment horizontal="left" indent="2"/>
    </xf>
    <xf numFmtId="0" fontId="1" fillId="0" borderId="13" xfId="0" applyFont="1" applyBorder="1" applyAlignment="1">
      <alignment horizontal="center"/>
    </xf>
    <xf numFmtId="0" fontId="3" fillId="6" borderId="14" xfId="0" applyFont="1" applyFill="1" applyBorder="1" applyAlignment="1">
      <alignment horizontal="center"/>
    </xf>
    <xf numFmtId="0" fontId="0" fillId="0" borderId="13" xfId="0" applyBorder="1"/>
    <xf numFmtId="2" fontId="0" fillId="0" borderId="13" xfId="0" applyNumberFormat="1" applyBorder="1"/>
    <xf numFmtId="0" fontId="1" fillId="0" borderId="18" xfId="0" applyFont="1" applyBorder="1" applyAlignment="1">
      <alignment horizontal="center"/>
    </xf>
    <xf numFmtId="2" fontId="0" fillId="0" borderId="19" xfId="0" applyNumberFormat="1" applyBorder="1"/>
    <xf numFmtId="2" fontId="0" fillId="0" borderId="19" xfId="0" applyNumberFormat="1" applyBorder="1" applyAlignment="1">
      <alignment horizontal="center"/>
    </xf>
    <xf numFmtId="1" fontId="0" fillId="0" borderId="0" xfId="0" applyNumberFormat="1"/>
    <xf numFmtId="0" fontId="0" fillId="0" borderId="20" xfId="0" applyBorder="1"/>
    <xf numFmtId="165" fontId="0" fillId="0" borderId="0" xfId="0" applyNumberFormat="1"/>
    <xf numFmtId="2" fontId="1" fillId="0" borderId="16" xfId="0" applyNumberFormat="1" applyFont="1" applyBorder="1"/>
    <xf numFmtId="2" fontId="1" fillId="0" borderId="15" xfId="0" applyNumberFormat="1" applyFont="1" applyBorder="1"/>
    <xf numFmtId="2" fontId="1" fillId="0" borderId="17" xfId="0" applyNumberFormat="1" applyFont="1" applyBorder="1"/>
    <xf numFmtId="0" fontId="7" fillId="0" borderId="0" xfId="1"/>
    <xf numFmtId="9" fontId="0" fillId="5" borderId="1" xfId="0" applyNumberFormat="1" applyFill="1" applyBorder="1"/>
    <xf numFmtId="0" fontId="0" fillId="0" borderId="21" xfId="0" applyBorder="1"/>
    <xf numFmtId="2" fontId="0" fillId="0" borderId="22" xfId="0" applyNumberFormat="1" applyBorder="1"/>
    <xf numFmtId="2" fontId="0" fillId="0" borderId="23" xfId="0" applyNumberFormat="1" applyBorder="1"/>
    <xf numFmtId="2" fontId="0" fillId="0" borderId="24" xfId="0" applyNumberFormat="1" applyBorder="1"/>
    <xf numFmtId="2" fontId="0" fillId="0" borderId="24" xfId="0" applyNumberFormat="1" applyBorder="1" applyAlignment="1">
      <alignment horizontal="center"/>
    </xf>
    <xf numFmtId="0" fontId="3" fillId="3" borderId="2" xfId="0" applyFont="1" applyFill="1" applyBorder="1" applyAlignment="1">
      <alignment horizontal="center"/>
    </xf>
    <xf numFmtId="0" fontId="3" fillId="4" borderId="2" xfId="0" applyFont="1" applyFill="1" applyBorder="1" applyAlignment="1">
      <alignment horizontal="center"/>
    </xf>
    <xf numFmtId="2" fontId="0" fillId="2" borderId="23" xfId="0" applyNumberFormat="1" applyFill="1" applyBorder="1"/>
    <xf numFmtId="2" fontId="0" fillId="0" borderId="5" xfId="0" applyNumberFormat="1" applyBorder="1"/>
    <xf numFmtId="0" fontId="3" fillId="0" borderId="5" xfId="0" applyFont="1" applyBorder="1"/>
    <xf numFmtId="0" fontId="8" fillId="0" borderId="5" xfId="0" applyFont="1" applyBorder="1"/>
    <xf numFmtId="2" fontId="8" fillId="0" borderId="5" xfId="0" applyNumberFormat="1" applyFont="1" applyBorder="1"/>
    <xf numFmtId="0" fontId="3" fillId="0" borderId="2" xfId="0" applyFont="1" applyBorder="1" applyAlignment="1">
      <alignment horizontal="center"/>
    </xf>
    <xf numFmtId="0" fontId="9" fillId="0" borderId="21" xfId="0" applyFont="1" applyBorder="1"/>
    <xf numFmtId="0" fontId="9" fillId="0" borderId="0" xfId="0" applyFont="1"/>
    <xf numFmtId="164" fontId="0" fillId="0" borderId="0" xfId="0" applyNumberFormat="1"/>
    <xf numFmtId="164" fontId="0" fillId="5" borderId="1" xfId="0" applyNumberFormat="1" applyFill="1" applyBorder="1"/>
    <xf numFmtId="0" fontId="3" fillId="6" borderId="2" xfId="0" applyFont="1" applyFill="1" applyBorder="1" applyAlignment="1">
      <alignment horizontal="center"/>
    </xf>
    <xf numFmtId="9" fontId="0" fillId="0" borderId="0" xfId="0" applyNumberFormat="1" applyAlignment="1">
      <alignment horizontal="right"/>
    </xf>
    <xf numFmtId="0" fontId="1" fillId="6" borderId="0" xfId="0" applyFont="1" applyFill="1"/>
    <xf numFmtId="0" fontId="1" fillId="7" borderId="0" xfId="0" applyFont="1" applyFill="1"/>
    <xf numFmtId="0" fontId="1" fillId="8" borderId="0" xfId="0" applyFont="1" applyFill="1"/>
    <xf numFmtId="0" fontId="1" fillId="4" borderId="0" xfId="0" applyFont="1" applyFill="1" applyAlignment="1">
      <alignment horizontal="left"/>
    </xf>
    <xf numFmtId="0" fontId="1" fillId="9" borderId="0" xfId="0" applyFont="1" applyFill="1" applyAlignment="1">
      <alignment horizontal="left"/>
    </xf>
    <xf numFmtId="0" fontId="1" fillId="10" borderId="0" xfId="0" applyFont="1" applyFill="1" applyAlignment="1">
      <alignment horizontal="left"/>
    </xf>
    <xf numFmtId="0" fontId="1" fillId="0" borderId="25" xfId="0" applyFont="1" applyBorder="1" applyAlignment="1">
      <alignment horizontal="center" wrapText="1"/>
    </xf>
    <xf numFmtId="0" fontId="1" fillId="0" borderId="20" xfId="0" applyFont="1" applyBorder="1" applyAlignment="1">
      <alignment horizontal="center" wrapText="1"/>
    </xf>
    <xf numFmtId="0" fontId="1" fillId="0" borderId="13" xfId="0" applyFont="1" applyBorder="1" applyAlignment="1">
      <alignment horizontal="center" wrapText="1"/>
    </xf>
    <xf numFmtId="0" fontId="0" fillId="0" borderId="26" xfId="0" applyBorder="1"/>
    <xf numFmtId="0" fontId="9" fillId="0" borderId="26" xfId="0" applyFont="1" applyBorder="1"/>
    <xf numFmtId="0" fontId="9" fillId="0" borderId="31" xfId="0" applyFont="1" applyBorder="1"/>
    <xf numFmtId="0" fontId="0" fillId="0" borderId="32" xfId="0" applyBorder="1"/>
    <xf numFmtId="166" fontId="0" fillId="0" borderId="28" xfId="0" applyNumberFormat="1" applyBorder="1" applyAlignment="1">
      <alignment horizontal="center"/>
    </xf>
    <xf numFmtId="166" fontId="0" fillId="0" borderId="33" xfId="0" applyNumberFormat="1" applyBorder="1" applyAlignment="1">
      <alignment horizontal="center"/>
    </xf>
    <xf numFmtId="166" fontId="0" fillId="0" borderId="27" xfId="0" applyNumberFormat="1" applyBorder="1" applyAlignment="1">
      <alignment horizontal="center"/>
    </xf>
    <xf numFmtId="166" fontId="0" fillId="0" borderId="14" xfId="0" applyNumberFormat="1" applyBorder="1" applyAlignment="1">
      <alignment horizontal="center"/>
    </xf>
    <xf numFmtId="166" fontId="0" fillId="0" borderId="30" xfId="0" applyNumberFormat="1" applyBorder="1" applyAlignment="1">
      <alignment horizontal="center"/>
    </xf>
    <xf numFmtId="166" fontId="0" fillId="0" borderId="29" xfId="0" applyNumberFormat="1" applyBorder="1" applyAlignment="1">
      <alignment horizontal="center"/>
    </xf>
    <xf numFmtId="0" fontId="1" fillId="4" borderId="0" xfId="0" applyFont="1" applyFill="1"/>
    <xf numFmtId="0" fontId="1" fillId="9" borderId="0" xfId="0" applyFont="1" applyFill="1"/>
    <xf numFmtId="0" fontId="1" fillId="10" borderId="0" xfId="0" applyFont="1" applyFill="1"/>
    <xf numFmtId="0" fontId="0" fillId="0" borderId="2" xfId="0" applyBorder="1" applyAlignment="1">
      <alignment horizontal="left" vertical="top" wrapText="1"/>
    </xf>
    <xf numFmtId="0" fontId="0" fillId="0" borderId="0" xfId="0" applyAlignment="1">
      <alignment horizontal="left" wrapText="1"/>
    </xf>
    <xf numFmtId="0" fontId="0" fillId="0" borderId="0" xfId="0" applyAlignment="1">
      <alignment horizontal="left" vertical="top" wrapText="1"/>
    </xf>
    <xf numFmtId="0" fontId="1" fillId="0" borderId="0" xfId="0" applyFont="1" applyAlignment="1">
      <alignment horizontal="center"/>
    </xf>
    <xf numFmtId="0" fontId="0" fillId="0" borderId="0" xfId="0" applyAlignment="1">
      <alignment horizontal="center"/>
    </xf>
    <xf numFmtId="0" fontId="0" fillId="0" borderId="2" xfId="0" applyBorder="1" applyAlignment="1">
      <alignment horizontal="left" wrapText="1"/>
    </xf>
    <xf numFmtId="0" fontId="0" fillId="0" borderId="0" xfId="0" applyAlignment="1">
      <alignment horizontal="center" vertical="center" wrapText="1"/>
    </xf>
    <xf numFmtId="0" fontId="1" fillId="0" borderId="0" xfId="0" applyFont="1" applyAlignment="1">
      <alignment horizontal="left" wrapText="1"/>
    </xf>
    <xf numFmtId="0" fontId="1" fillId="0" borderId="13" xfId="0" applyFont="1" applyBorder="1" applyAlignment="1">
      <alignment horizontal="center"/>
    </xf>
    <xf numFmtId="0" fontId="1" fillId="0" borderId="25" xfId="0" applyFont="1" applyBorder="1" applyAlignment="1">
      <alignment horizontal="center"/>
    </xf>
    <xf numFmtId="0" fontId="3" fillId="0" borderId="28" xfId="0" applyFont="1" applyBorder="1" applyAlignment="1">
      <alignment horizontal="center"/>
    </xf>
    <xf numFmtId="0" fontId="4" fillId="8" borderId="0" xfId="0" applyFont="1" applyFill="1" applyAlignment="1">
      <alignment horizontal="center"/>
    </xf>
    <xf numFmtId="0" fontId="3" fillId="8" borderId="0" xfId="0" applyFont="1" applyFill="1" applyAlignment="1">
      <alignment horizontal="center"/>
    </xf>
    <xf numFmtId="0" fontId="3" fillId="4" borderId="0" xfId="0" applyFont="1" applyFill="1" applyAlignment="1">
      <alignment horizontal="center"/>
    </xf>
    <xf numFmtId="0" fontId="4" fillId="4" borderId="0" xfId="0" applyFont="1" applyFill="1" applyAlignment="1">
      <alignment horizontal="center"/>
    </xf>
    <xf numFmtId="0" fontId="3" fillId="9" borderId="0" xfId="0" applyFont="1" applyFill="1" applyAlignment="1">
      <alignment horizontal="center"/>
    </xf>
    <xf numFmtId="0" fontId="4" fillId="9" borderId="0" xfId="0" applyFont="1" applyFill="1" applyAlignment="1">
      <alignment horizontal="center"/>
    </xf>
    <xf numFmtId="0" fontId="4" fillId="6" borderId="0" xfId="0" applyFont="1" applyFill="1" applyAlignment="1">
      <alignment horizontal="center"/>
    </xf>
    <xf numFmtId="0" fontId="3" fillId="6" borderId="0" xfId="0" applyFont="1" applyFill="1" applyAlignment="1">
      <alignment horizontal="center"/>
    </xf>
    <xf numFmtId="0" fontId="4" fillId="7" borderId="0" xfId="0" applyFont="1" applyFill="1" applyAlignment="1">
      <alignment horizontal="center"/>
    </xf>
    <xf numFmtId="0" fontId="3" fillId="7" borderId="0" xfId="0" applyFont="1" applyFill="1" applyAlignment="1">
      <alignment horizontal="center"/>
    </xf>
    <xf numFmtId="0" fontId="4" fillId="10" borderId="0" xfId="0" applyFont="1" applyFill="1" applyAlignment="1">
      <alignment horizontal="center"/>
    </xf>
    <xf numFmtId="0" fontId="3" fillId="10" borderId="0" xfId="0" applyFont="1" applyFill="1" applyAlignment="1">
      <alignment horizontal="center"/>
    </xf>
    <xf numFmtId="0" fontId="1" fillId="6" borderId="0" xfId="0" applyFont="1" applyFill="1" applyAlignment="1">
      <alignment horizontal="center"/>
    </xf>
    <xf numFmtId="0" fontId="1" fillId="7" borderId="0" xfId="0" applyFont="1" applyFill="1" applyAlignment="1">
      <alignment horizontal="center"/>
    </xf>
    <xf numFmtId="0" fontId="1" fillId="8" borderId="0" xfId="0" applyFont="1" applyFill="1" applyAlignment="1">
      <alignment horizontal="center" wrapText="1"/>
    </xf>
    <xf numFmtId="0" fontId="1" fillId="10" borderId="0" xfId="0" applyFont="1" applyFill="1" applyAlignment="1">
      <alignment horizontal="center" wrapText="1"/>
    </xf>
    <xf numFmtId="0" fontId="1" fillId="9" borderId="0" xfId="0" applyFont="1" applyFill="1" applyAlignment="1">
      <alignment horizontal="center" wrapText="1"/>
    </xf>
    <xf numFmtId="0" fontId="1" fillId="4" borderId="0" xfId="0" applyFont="1" applyFill="1" applyAlignment="1">
      <alignment horizontal="center"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variables,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sommaires'!$A$3</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sommaires'!$B$3:$D$3</c:f>
              <c:numCache>
                <c:formatCode>#\ ##0\ "$"</c:formatCode>
                <c:ptCount val="3"/>
                <c:pt idx="0">
                  <c:v>753.6303333333334</c:v>
                </c:pt>
                <c:pt idx="1">
                  <c:v>823.98545033333323</c:v>
                </c:pt>
                <c:pt idx="2">
                  <c:v>894.3405673333333</c:v>
                </c:pt>
              </c:numCache>
            </c:numRef>
          </c:val>
          <c:smooth val="0"/>
          <c:extLst>
            <c:ext xmlns:c16="http://schemas.microsoft.com/office/drawing/2014/chart" uri="{C3380CC4-5D6E-409C-BE32-E72D297353CC}">
              <c16:uniqueId val="{00000000-B0F9-4EA8-8306-995FFB68D22E}"/>
            </c:ext>
          </c:extLst>
        </c:ser>
        <c:ser>
          <c:idx val="1"/>
          <c:order val="1"/>
          <c:tx>
            <c:strRef>
              <c:f>'Résultats sommaires'!$A$4</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sommaires'!$B$4:$D$4</c:f>
              <c:numCache>
                <c:formatCode>#\ ##0\ "$"</c:formatCode>
                <c:ptCount val="3"/>
                <c:pt idx="0">
                  <c:v>864.10230000000013</c:v>
                </c:pt>
                <c:pt idx="1">
                  <c:v>939.879097</c:v>
                </c:pt>
                <c:pt idx="2">
                  <c:v>1015.6558940000001</c:v>
                </c:pt>
              </c:numCache>
            </c:numRef>
          </c:val>
          <c:smooth val="0"/>
          <c:extLst>
            <c:ext xmlns:c16="http://schemas.microsoft.com/office/drawing/2014/chart" uri="{C3380CC4-5D6E-409C-BE32-E72D297353CC}">
              <c16:uniqueId val="{00000001-B0F9-4EA8-8306-995FFB68D22E}"/>
            </c:ext>
          </c:extLst>
        </c:ser>
        <c:ser>
          <c:idx val="2"/>
          <c:order val="2"/>
          <c:tx>
            <c:strRef>
              <c:f>'Résultats sommaires'!$A$5</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sommaires'!$B$5:$D$5</c:f>
              <c:numCache>
                <c:formatCode>#\ ##0\ "$"</c:formatCode>
                <c:ptCount val="3"/>
                <c:pt idx="0">
                  <c:v>811.57479999999987</c:v>
                </c:pt>
                <c:pt idx="1">
                  <c:v>856.31762499999991</c:v>
                </c:pt>
                <c:pt idx="2">
                  <c:v>901.06045000000006</c:v>
                </c:pt>
              </c:numCache>
            </c:numRef>
          </c:val>
          <c:smooth val="0"/>
          <c:extLst>
            <c:ext xmlns:c16="http://schemas.microsoft.com/office/drawing/2014/chart" uri="{C3380CC4-5D6E-409C-BE32-E72D297353CC}">
              <c16:uniqueId val="{00000002-B0F9-4EA8-8306-995FFB68D22E}"/>
            </c:ext>
          </c:extLst>
        </c:ser>
        <c:ser>
          <c:idx val="3"/>
          <c:order val="3"/>
          <c:tx>
            <c:strRef>
              <c:f>'Résultats sommaires'!$A$6</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sommaires'!$B$6:$D$6</c:f>
              <c:numCache>
                <c:formatCode>#\ ##0\ "$"</c:formatCode>
                <c:ptCount val="3"/>
                <c:pt idx="0">
                  <c:v>645.86684999999977</c:v>
                </c:pt>
                <c:pt idx="1">
                  <c:v>682.47715499999981</c:v>
                </c:pt>
                <c:pt idx="2">
                  <c:v>719.08745999999996</c:v>
                </c:pt>
              </c:numCache>
            </c:numRef>
          </c:val>
          <c:smooth val="0"/>
          <c:extLst>
            <c:ext xmlns:c16="http://schemas.microsoft.com/office/drawing/2014/chart" uri="{C3380CC4-5D6E-409C-BE32-E72D297353CC}">
              <c16:uniqueId val="{00000003-B0F9-4EA8-8306-995FFB68D22E}"/>
            </c:ext>
          </c:extLst>
        </c:ser>
        <c:ser>
          <c:idx val="4"/>
          <c:order val="4"/>
          <c:tx>
            <c:strRef>
              <c:f>'Résultats sommaires'!$A$7</c:f>
              <c:strCache>
                <c:ptCount val="1"/>
                <c:pt idx="0">
                  <c:v>SOYA - AVOINE - CANOLA - AVOINE</c:v>
                </c:pt>
              </c:strCache>
            </c:strRef>
          </c:tx>
          <c:spPr>
            <a:ln w="28575" cap="rnd">
              <a:solidFill>
                <a:schemeClr val="accent5"/>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sommaires'!$B$7:$D$7</c:f>
              <c:numCache>
                <c:formatCode>#\ ##0\ "$"</c:formatCode>
                <c:ptCount val="3"/>
                <c:pt idx="0">
                  <c:v>505.40580000000006</c:v>
                </c:pt>
                <c:pt idx="1">
                  <c:v>530.51411999999993</c:v>
                </c:pt>
                <c:pt idx="2">
                  <c:v>555.6224400000001</c:v>
                </c:pt>
              </c:numCache>
            </c:numRef>
          </c:val>
          <c:smooth val="0"/>
          <c:extLst>
            <c:ext xmlns:c16="http://schemas.microsoft.com/office/drawing/2014/chart" uri="{C3380CC4-5D6E-409C-BE32-E72D297353CC}">
              <c16:uniqueId val="{00000004-B0F9-4EA8-8306-995FFB68D22E}"/>
            </c:ext>
          </c:extLst>
        </c:ser>
        <c:ser>
          <c:idx val="5"/>
          <c:order val="5"/>
          <c:tx>
            <c:strRef>
              <c:f>'Résultats sommaires'!$A$8</c:f>
              <c:strCache>
                <c:ptCount val="1"/>
                <c:pt idx="0">
                  <c:v>SOYA - ORGE - CANOLA - ORGE</c:v>
                </c:pt>
              </c:strCache>
            </c:strRef>
          </c:tx>
          <c:spPr>
            <a:ln w="28575" cap="rnd">
              <a:solidFill>
                <a:schemeClr val="accent6"/>
              </a:solidFill>
              <a:round/>
            </a:ln>
            <a:effectLst/>
          </c:spPr>
          <c:marker>
            <c:symbol val="none"/>
          </c:marker>
          <c:cat>
            <c:strRef>
              <c:f>'Résultats sommaires'!$B$2:$D$2</c:f>
              <c:strCache>
                <c:ptCount val="3"/>
                <c:pt idx="0">
                  <c:v>Moyenne annuelle 
Cycle 1</c:v>
                </c:pt>
                <c:pt idx="1">
                  <c:v>Moyenne annuelle 
Cycle 2</c:v>
                </c:pt>
                <c:pt idx="2">
                  <c:v>Moyenne annuelle 
Cycle 3</c:v>
                </c:pt>
              </c:strCache>
            </c:strRef>
          </c:cat>
          <c:val>
            <c:numRef>
              <c:f>'Résultats sommaires'!$B$8:$D$8</c:f>
              <c:numCache>
                <c:formatCode>#\ ##0\ "$"</c:formatCode>
                <c:ptCount val="3"/>
                <c:pt idx="0">
                  <c:v>581.08754999999996</c:v>
                </c:pt>
                <c:pt idx="1">
                  <c:v>610.17393749999985</c:v>
                </c:pt>
                <c:pt idx="2">
                  <c:v>639.26032500000008</c:v>
                </c:pt>
              </c:numCache>
            </c:numRef>
          </c:val>
          <c:smooth val="0"/>
          <c:extLst>
            <c:ext xmlns:c16="http://schemas.microsoft.com/office/drawing/2014/chart" uri="{C3380CC4-5D6E-409C-BE32-E72D297353CC}">
              <c16:uniqueId val="{00000005-B0F9-4EA8-8306-995FFB68D22E}"/>
            </c:ext>
          </c:extLst>
        </c:ser>
        <c:dLbls>
          <c:showLegendKey val="0"/>
          <c:showVal val="0"/>
          <c:showCatName val="0"/>
          <c:showSerName val="0"/>
          <c:showPercent val="0"/>
          <c:showBubbleSize val="0"/>
        </c:dLbls>
        <c:smooth val="0"/>
        <c:axId val="718805208"/>
        <c:axId val="718813736"/>
      </c:lineChart>
      <c:catAx>
        <c:axId val="718805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718813736"/>
        <c:crosses val="autoZero"/>
        <c:auto val="1"/>
        <c:lblAlgn val="ctr"/>
        <c:lblOffset val="100"/>
        <c:noMultiLvlLbl val="0"/>
      </c:catAx>
      <c:valAx>
        <c:axId val="718813736"/>
        <c:scaling>
          <c:orientation val="minMax"/>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7188052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r>
              <a:rPr lang="en-CA"/>
              <a:t>Marge bénéficiaire après frais monétaires,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Arial Narrow" panose="020B0606020202030204" pitchFamily="34" charset="0"/>
              <a:ea typeface="+mn-ea"/>
              <a:cs typeface="+mn-cs"/>
            </a:defRPr>
          </a:pPr>
          <a:endParaRPr lang="fr-FR"/>
        </a:p>
      </c:txPr>
    </c:title>
    <c:autoTitleDeleted val="0"/>
    <c:plotArea>
      <c:layout/>
      <c:lineChart>
        <c:grouping val="standard"/>
        <c:varyColors val="0"/>
        <c:ser>
          <c:idx val="0"/>
          <c:order val="0"/>
          <c:tx>
            <c:strRef>
              <c:f>'Résultats sommaires'!$A$28</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sommaires'!$B$28:$D$28</c:f>
              <c:numCache>
                <c:formatCode>#\ ##0\ "$"</c:formatCode>
                <c:ptCount val="3"/>
                <c:pt idx="0">
                  <c:v>563.57699999999988</c:v>
                </c:pt>
                <c:pt idx="1">
                  <c:v>633.93211699999995</c:v>
                </c:pt>
                <c:pt idx="2">
                  <c:v>704.28723400000001</c:v>
                </c:pt>
              </c:numCache>
            </c:numRef>
          </c:val>
          <c:smooth val="0"/>
          <c:extLst>
            <c:ext xmlns:c16="http://schemas.microsoft.com/office/drawing/2014/chart" uri="{C3380CC4-5D6E-409C-BE32-E72D297353CC}">
              <c16:uniqueId val="{00000000-F47F-4CD1-8E9F-89AD7A32D218}"/>
            </c:ext>
          </c:extLst>
        </c:ser>
        <c:ser>
          <c:idx val="1"/>
          <c:order val="1"/>
          <c:tx>
            <c:strRef>
              <c:f>'Résultats sommaires'!$A$29</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sommaires'!$B$29:$D$29</c:f>
              <c:numCache>
                <c:formatCode>#\ ##0\ "$"</c:formatCode>
                <c:ptCount val="3"/>
                <c:pt idx="0">
                  <c:v>674.04896666666662</c:v>
                </c:pt>
                <c:pt idx="1">
                  <c:v>749.82576366666672</c:v>
                </c:pt>
                <c:pt idx="2">
                  <c:v>825.60256066666682</c:v>
                </c:pt>
              </c:numCache>
            </c:numRef>
          </c:val>
          <c:smooth val="0"/>
          <c:extLst>
            <c:ext xmlns:c16="http://schemas.microsoft.com/office/drawing/2014/chart" uri="{C3380CC4-5D6E-409C-BE32-E72D297353CC}">
              <c16:uniqueId val="{00000001-F47F-4CD1-8E9F-89AD7A32D218}"/>
            </c:ext>
          </c:extLst>
        </c:ser>
        <c:ser>
          <c:idx val="2"/>
          <c:order val="2"/>
          <c:tx>
            <c:strRef>
              <c:f>'Résultats sommaires'!$A$30</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sommaires'!$B$30:$D$30</c:f>
              <c:numCache>
                <c:formatCode>#\ ##0\ "$"</c:formatCode>
                <c:ptCount val="3"/>
                <c:pt idx="0">
                  <c:v>666.3098</c:v>
                </c:pt>
                <c:pt idx="1">
                  <c:v>711.05262500000003</c:v>
                </c:pt>
                <c:pt idx="2">
                  <c:v>755.79545000000007</c:v>
                </c:pt>
              </c:numCache>
            </c:numRef>
          </c:val>
          <c:smooth val="0"/>
          <c:extLst>
            <c:ext xmlns:c16="http://schemas.microsoft.com/office/drawing/2014/chart" uri="{C3380CC4-5D6E-409C-BE32-E72D297353CC}">
              <c16:uniqueId val="{00000002-F47F-4CD1-8E9F-89AD7A32D218}"/>
            </c:ext>
          </c:extLst>
        </c:ser>
        <c:ser>
          <c:idx val="3"/>
          <c:order val="3"/>
          <c:tx>
            <c:strRef>
              <c:f>'Résultats sommaires'!$A$31</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sommaires'!$B$31:$D$31</c:f>
              <c:numCache>
                <c:formatCode>#\ ##0\ "$"</c:formatCode>
                <c:ptCount val="3"/>
                <c:pt idx="0">
                  <c:v>500.60184999999979</c:v>
                </c:pt>
                <c:pt idx="1">
                  <c:v>537.21215499999994</c:v>
                </c:pt>
                <c:pt idx="2">
                  <c:v>573.82246000000009</c:v>
                </c:pt>
              </c:numCache>
            </c:numRef>
          </c:val>
          <c:smooth val="0"/>
          <c:extLst>
            <c:ext xmlns:c16="http://schemas.microsoft.com/office/drawing/2014/chart" uri="{C3380CC4-5D6E-409C-BE32-E72D297353CC}">
              <c16:uniqueId val="{00000003-F47F-4CD1-8E9F-89AD7A32D218}"/>
            </c:ext>
          </c:extLst>
        </c:ser>
        <c:ser>
          <c:idx val="4"/>
          <c:order val="4"/>
          <c:tx>
            <c:strRef>
              <c:f>'Résultats sommaires'!$A$32</c:f>
              <c:strCache>
                <c:ptCount val="1"/>
                <c:pt idx="0">
                  <c:v>SOYA - AVOINE - CANOLA - AVOINE</c:v>
                </c:pt>
              </c:strCache>
            </c:strRef>
          </c:tx>
          <c:spPr>
            <a:ln w="28575" cap="rnd">
              <a:solidFill>
                <a:schemeClr val="accent5"/>
              </a:solidFill>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sommaires'!$B$32:$D$32</c:f>
              <c:numCache>
                <c:formatCode>#\ ##0\ "$"</c:formatCode>
                <c:ptCount val="3"/>
                <c:pt idx="0">
                  <c:v>374.37080000000009</c:v>
                </c:pt>
                <c:pt idx="1">
                  <c:v>399.47911999999997</c:v>
                </c:pt>
                <c:pt idx="2">
                  <c:v>424.58744000000002</c:v>
                </c:pt>
              </c:numCache>
            </c:numRef>
          </c:val>
          <c:smooth val="0"/>
          <c:extLst>
            <c:ext xmlns:c16="http://schemas.microsoft.com/office/drawing/2014/chart" uri="{C3380CC4-5D6E-409C-BE32-E72D297353CC}">
              <c16:uniqueId val="{00000004-F47F-4CD1-8E9F-89AD7A32D218}"/>
            </c:ext>
          </c:extLst>
        </c:ser>
        <c:ser>
          <c:idx val="5"/>
          <c:order val="5"/>
          <c:tx>
            <c:strRef>
              <c:f>'Résultats sommaires'!$A$33</c:f>
              <c:strCache>
                <c:ptCount val="1"/>
                <c:pt idx="0">
                  <c:v>SOYA - ORGE - CANOLA - ORGE</c:v>
                </c:pt>
              </c:strCache>
            </c:strRef>
          </c:tx>
          <c:spPr>
            <a:ln w="28575" cap="rnd">
              <a:solidFill>
                <a:schemeClr val="accent6"/>
              </a:solidFill>
              <a:round/>
            </a:ln>
            <a:effectLst/>
          </c:spPr>
          <c:marker>
            <c:symbol val="none"/>
          </c:marker>
          <c:cat>
            <c:strRef>
              <c:f>'Résultats sommaires'!$B$27:$D$27</c:f>
              <c:strCache>
                <c:ptCount val="3"/>
                <c:pt idx="0">
                  <c:v>Moyenne annuelle 
Cycle 1</c:v>
                </c:pt>
                <c:pt idx="1">
                  <c:v>Moyenne annuelle 
Cycle 2</c:v>
                </c:pt>
                <c:pt idx="2">
                  <c:v>Moyenne annuelle 
Cycle 3</c:v>
                </c:pt>
              </c:strCache>
            </c:strRef>
          </c:cat>
          <c:val>
            <c:numRef>
              <c:f>'Résultats sommaires'!$B$33:$D$33</c:f>
              <c:numCache>
                <c:formatCode>#\ ##0\ "$"</c:formatCode>
                <c:ptCount val="3"/>
                <c:pt idx="0">
                  <c:v>439.10255000000006</c:v>
                </c:pt>
                <c:pt idx="1">
                  <c:v>468.18893749999984</c:v>
                </c:pt>
                <c:pt idx="2">
                  <c:v>497.27532500000007</c:v>
                </c:pt>
              </c:numCache>
            </c:numRef>
          </c:val>
          <c:smooth val="0"/>
          <c:extLst>
            <c:ext xmlns:c16="http://schemas.microsoft.com/office/drawing/2014/chart" uri="{C3380CC4-5D6E-409C-BE32-E72D297353CC}">
              <c16:uniqueId val="{00000005-F47F-4CD1-8E9F-89AD7A32D218}"/>
            </c:ext>
          </c:extLst>
        </c:ser>
        <c:dLbls>
          <c:showLegendKey val="0"/>
          <c:showVal val="0"/>
          <c:showCatName val="0"/>
          <c:showSerName val="0"/>
          <c:showPercent val="0"/>
          <c:showBubbleSize val="0"/>
        </c:dLbls>
        <c:smooth val="0"/>
        <c:axId val="740484024"/>
        <c:axId val="740481728"/>
      </c:lineChart>
      <c:catAx>
        <c:axId val="7404840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740481728"/>
        <c:crosses val="autoZero"/>
        <c:auto val="1"/>
        <c:lblAlgn val="ctr"/>
        <c:lblOffset val="100"/>
        <c:noMultiLvlLbl val="0"/>
      </c:catAx>
      <c:valAx>
        <c:axId val="74048172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crossAx val="7404840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Arial Narrow" panose="020B0606020202030204" pitchFamily="34" charset="0"/>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ysClr val="windowText" lastClr="000000"/>
      </a:solidFill>
      <a:round/>
    </a:ln>
    <a:effectLst/>
  </c:spPr>
  <c:txPr>
    <a:bodyPr/>
    <a:lstStyle/>
    <a:p>
      <a:pPr>
        <a:defRPr sz="1100" b="1">
          <a:solidFill>
            <a:sysClr val="windowText" lastClr="000000"/>
          </a:solidFill>
          <a:latin typeface="Arial Narrow" panose="020B0606020202030204" pitchFamily="34" charset="0"/>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les amortissements et les rémunérations du travail et de l'avoir,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sommaires'!$A$56</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sommaires'!$B$56:$D$56</c:f>
              <c:numCache>
                <c:formatCode>#\ ##0\ "$"</c:formatCode>
                <c:ptCount val="3"/>
                <c:pt idx="0">
                  <c:v>105.68033333333331</c:v>
                </c:pt>
                <c:pt idx="1">
                  <c:v>176.03545033333322</c:v>
                </c:pt>
                <c:pt idx="2">
                  <c:v>246.39056733333345</c:v>
                </c:pt>
              </c:numCache>
            </c:numRef>
          </c:val>
          <c:smooth val="0"/>
          <c:extLst>
            <c:ext xmlns:c16="http://schemas.microsoft.com/office/drawing/2014/chart" uri="{C3380CC4-5D6E-409C-BE32-E72D297353CC}">
              <c16:uniqueId val="{00000000-7A0F-4557-B295-DA53E334B106}"/>
            </c:ext>
          </c:extLst>
        </c:ser>
        <c:ser>
          <c:idx val="1"/>
          <c:order val="1"/>
          <c:tx>
            <c:strRef>
              <c:f>'Résultats sommaires'!$A$57</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sommaires'!$B$57:$D$57</c:f>
              <c:numCache>
                <c:formatCode>#\ ##0\ "$"</c:formatCode>
                <c:ptCount val="3"/>
                <c:pt idx="0">
                  <c:v>216.15230000000005</c:v>
                </c:pt>
                <c:pt idx="1">
                  <c:v>291.92909699999996</c:v>
                </c:pt>
                <c:pt idx="2">
                  <c:v>367.70589400000017</c:v>
                </c:pt>
              </c:numCache>
            </c:numRef>
          </c:val>
          <c:smooth val="0"/>
          <c:extLst>
            <c:ext xmlns:c16="http://schemas.microsoft.com/office/drawing/2014/chart" uri="{C3380CC4-5D6E-409C-BE32-E72D297353CC}">
              <c16:uniqueId val="{00000001-7A0F-4557-B295-DA53E334B106}"/>
            </c:ext>
          </c:extLst>
        </c:ser>
        <c:ser>
          <c:idx val="2"/>
          <c:order val="2"/>
          <c:tx>
            <c:strRef>
              <c:f>'Résultats sommaires'!$A$58</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sommaires'!$B$58:$D$58</c:f>
              <c:numCache>
                <c:formatCode>#\ ##0\ "$"</c:formatCode>
                <c:ptCount val="3"/>
                <c:pt idx="0">
                  <c:v>311.63229999999993</c:v>
                </c:pt>
                <c:pt idx="1">
                  <c:v>356.37512499999997</c:v>
                </c:pt>
                <c:pt idx="2">
                  <c:v>401.11795000000006</c:v>
                </c:pt>
              </c:numCache>
            </c:numRef>
          </c:val>
          <c:smooth val="0"/>
          <c:extLst>
            <c:ext xmlns:c16="http://schemas.microsoft.com/office/drawing/2014/chart" uri="{C3380CC4-5D6E-409C-BE32-E72D297353CC}">
              <c16:uniqueId val="{00000002-7A0F-4557-B295-DA53E334B106}"/>
            </c:ext>
          </c:extLst>
        </c:ser>
        <c:ser>
          <c:idx val="3"/>
          <c:order val="3"/>
          <c:tx>
            <c:strRef>
              <c:f>'Résultats sommaires'!$A$59</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sommaires'!$B$59:$D$59</c:f>
              <c:numCache>
                <c:formatCode>#\ ##0\ "$"</c:formatCode>
                <c:ptCount val="3"/>
                <c:pt idx="0">
                  <c:v>145.92434999999983</c:v>
                </c:pt>
                <c:pt idx="1">
                  <c:v>182.53465499999987</c:v>
                </c:pt>
                <c:pt idx="2">
                  <c:v>219.14496000000003</c:v>
                </c:pt>
              </c:numCache>
            </c:numRef>
          </c:val>
          <c:smooth val="0"/>
          <c:extLst>
            <c:ext xmlns:c16="http://schemas.microsoft.com/office/drawing/2014/chart" uri="{C3380CC4-5D6E-409C-BE32-E72D297353CC}">
              <c16:uniqueId val="{00000003-7A0F-4557-B295-DA53E334B106}"/>
            </c:ext>
          </c:extLst>
        </c:ser>
        <c:ser>
          <c:idx val="4"/>
          <c:order val="4"/>
          <c:tx>
            <c:strRef>
              <c:f>'Résultats sommaires'!$A$60</c:f>
              <c:strCache>
                <c:ptCount val="1"/>
                <c:pt idx="0">
                  <c:v>SOYA - AVOINE - CANOLA - AVOINE</c:v>
                </c:pt>
              </c:strCache>
            </c:strRef>
          </c:tx>
          <c:spPr>
            <a:ln w="28575" cap="rnd">
              <a:solidFill>
                <a:schemeClr val="accent5"/>
              </a:solidFill>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sommaires'!$B$60:$D$60</c:f>
              <c:numCache>
                <c:formatCode>#\ ##0\ "$"</c:formatCode>
                <c:ptCount val="3"/>
                <c:pt idx="0">
                  <c:v>68.368300000000062</c:v>
                </c:pt>
                <c:pt idx="1">
                  <c:v>93.476619999999997</c:v>
                </c:pt>
                <c:pt idx="2">
                  <c:v>118.5849400000001</c:v>
                </c:pt>
              </c:numCache>
            </c:numRef>
          </c:val>
          <c:smooth val="0"/>
          <c:extLst>
            <c:ext xmlns:c16="http://schemas.microsoft.com/office/drawing/2014/chart" uri="{C3380CC4-5D6E-409C-BE32-E72D297353CC}">
              <c16:uniqueId val="{00000004-7A0F-4557-B295-DA53E334B106}"/>
            </c:ext>
          </c:extLst>
        </c:ser>
        <c:ser>
          <c:idx val="5"/>
          <c:order val="5"/>
          <c:tx>
            <c:strRef>
              <c:f>'Résultats sommaires'!$A$61</c:f>
              <c:strCache>
                <c:ptCount val="1"/>
                <c:pt idx="0">
                  <c:v>SOYA - ORGE - CANOLA - ORGE</c:v>
                </c:pt>
              </c:strCache>
            </c:strRef>
          </c:tx>
          <c:spPr>
            <a:ln w="28575" cap="rnd">
              <a:solidFill>
                <a:schemeClr val="accent6"/>
              </a:solidFill>
              <a:round/>
            </a:ln>
            <a:effectLst/>
          </c:spPr>
          <c:marker>
            <c:symbol val="none"/>
          </c:marker>
          <c:cat>
            <c:strRef>
              <c:f>'Résultats sommaires'!$B$55:$D$55</c:f>
              <c:strCache>
                <c:ptCount val="3"/>
                <c:pt idx="0">
                  <c:v>Moyenne annuelle 
Cycle 1</c:v>
                </c:pt>
                <c:pt idx="1">
                  <c:v>Moyenne annuelle 
Cycle 2</c:v>
                </c:pt>
                <c:pt idx="2">
                  <c:v>Moyenne annuelle 
Cycle 3</c:v>
                </c:pt>
              </c:strCache>
            </c:strRef>
          </c:cat>
          <c:val>
            <c:numRef>
              <c:f>'Résultats sommaires'!$B$61:$D$61</c:f>
              <c:numCache>
                <c:formatCode>#\ ##0\ "$"</c:formatCode>
                <c:ptCount val="3"/>
                <c:pt idx="0">
                  <c:v>82.050050000000056</c:v>
                </c:pt>
                <c:pt idx="1">
                  <c:v>111.13643749999989</c:v>
                </c:pt>
                <c:pt idx="2">
                  <c:v>140.22282500000011</c:v>
                </c:pt>
              </c:numCache>
            </c:numRef>
          </c:val>
          <c:smooth val="0"/>
          <c:extLst>
            <c:ext xmlns:c16="http://schemas.microsoft.com/office/drawing/2014/chart" uri="{C3380CC4-5D6E-409C-BE32-E72D297353CC}">
              <c16:uniqueId val="{00000005-7A0F-4557-B295-DA53E334B106}"/>
            </c:ext>
          </c:extLst>
        </c:ser>
        <c:dLbls>
          <c:showLegendKey val="0"/>
          <c:showVal val="0"/>
          <c:showCatName val="0"/>
          <c:showSerName val="0"/>
          <c:showPercent val="0"/>
          <c:showBubbleSize val="0"/>
        </c:dLbls>
        <c:smooth val="0"/>
        <c:axId val="718779624"/>
        <c:axId val="718777328"/>
      </c:lineChart>
      <c:catAx>
        <c:axId val="718779624"/>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b" anchorCtr="0"/>
          <a:lstStyle/>
          <a:p>
            <a:pPr>
              <a:defRPr sz="1100" b="1" i="0" u="none" strike="noStrike" kern="1200" baseline="0">
                <a:solidFill>
                  <a:sysClr val="windowText" lastClr="000000"/>
                </a:solidFill>
                <a:latin typeface="+mn-lt"/>
                <a:ea typeface="+mn-ea"/>
                <a:cs typeface="+mn-cs"/>
              </a:defRPr>
            </a:pPr>
            <a:endParaRPr lang="fr-FR"/>
          </a:p>
        </c:txPr>
        <c:crossAx val="718777328"/>
        <c:crosses val="autoZero"/>
        <c:auto val="1"/>
        <c:lblAlgn val="ctr"/>
        <c:lblOffset val="100"/>
        <c:noMultiLvlLbl val="0"/>
      </c:catAx>
      <c:valAx>
        <c:axId val="71877732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7187796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variables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sommaires'!$Q$3</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sommaires'!$R$3:$T$3</c:f>
              <c:numCache>
                <c:formatCode>#\ ##0\ "$"</c:formatCode>
                <c:ptCount val="3"/>
                <c:pt idx="0">
                  <c:v>753.6303333333334</c:v>
                </c:pt>
                <c:pt idx="1">
                  <c:v>823.98545033333323</c:v>
                </c:pt>
                <c:pt idx="2">
                  <c:v>894.3405673333333</c:v>
                </c:pt>
              </c:numCache>
            </c:numRef>
          </c:val>
          <c:smooth val="0"/>
          <c:extLst>
            <c:ext xmlns:c16="http://schemas.microsoft.com/office/drawing/2014/chart" uri="{C3380CC4-5D6E-409C-BE32-E72D297353CC}">
              <c16:uniqueId val="{00000000-1CC2-434C-AA57-AA125D333D27}"/>
            </c:ext>
          </c:extLst>
        </c:ser>
        <c:ser>
          <c:idx val="1"/>
          <c:order val="1"/>
          <c:tx>
            <c:strRef>
              <c:f>'Résultats sommaires'!$Q$4</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sommaires'!$R$4:$T$4</c:f>
              <c:numCache>
                <c:formatCode>#\ ##0\ "$"</c:formatCode>
                <c:ptCount val="3"/>
                <c:pt idx="0">
                  <c:v>864.10230000000013</c:v>
                </c:pt>
                <c:pt idx="1">
                  <c:v>939.879097</c:v>
                </c:pt>
                <c:pt idx="2">
                  <c:v>1015.6558940000001</c:v>
                </c:pt>
              </c:numCache>
            </c:numRef>
          </c:val>
          <c:smooth val="0"/>
          <c:extLst>
            <c:ext xmlns:c16="http://schemas.microsoft.com/office/drawing/2014/chart" uri="{C3380CC4-5D6E-409C-BE32-E72D297353CC}">
              <c16:uniqueId val="{00000001-1CC2-434C-AA57-AA125D333D27}"/>
            </c:ext>
          </c:extLst>
        </c:ser>
        <c:ser>
          <c:idx val="2"/>
          <c:order val="2"/>
          <c:tx>
            <c:strRef>
              <c:f>'Résultats sommaires'!$Q$5</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sommaires'!$R$5:$T$5</c:f>
              <c:numCache>
                <c:formatCode>#\ ##0\ "$"</c:formatCode>
                <c:ptCount val="3"/>
                <c:pt idx="0">
                  <c:v>811.57479999999987</c:v>
                </c:pt>
                <c:pt idx="1">
                  <c:v>856.31762499999991</c:v>
                </c:pt>
                <c:pt idx="2">
                  <c:v>901.06045000000006</c:v>
                </c:pt>
              </c:numCache>
            </c:numRef>
          </c:val>
          <c:smooth val="0"/>
          <c:extLst>
            <c:ext xmlns:c16="http://schemas.microsoft.com/office/drawing/2014/chart" uri="{C3380CC4-5D6E-409C-BE32-E72D297353CC}">
              <c16:uniqueId val="{00000002-1CC2-434C-AA57-AA125D333D27}"/>
            </c:ext>
          </c:extLst>
        </c:ser>
        <c:ser>
          <c:idx val="3"/>
          <c:order val="3"/>
          <c:tx>
            <c:strRef>
              <c:f>'Résultats sommaires'!$Q$6</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sommaires'!$R$6:$T$6</c:f>
              <c:numCache>
                <c:formatCode>#\ ##0\ "$"</c:formatCode>
                <c:ptCount val="3"/>
                <c:pt idx="0">
                  <c:v>645.86684999999977</c:v>
                </c:pt>
                <c:pt idx="1">
                  <c:v>682.47715499999981</c:v>
                </c:pt>
                <c:pt idx="2">
                  <c:v>719.08745999999996</c:v>
                </c:pt>
              </c:numCache>
            </c:numRef>
          </c:val>
          <c:smooth val="0"/>
          <c:extLst>
            <c:ext xmlns:c16="http://schemas.microsoft.com/office/drawing/2014/chart" uri="{C3380CC4-5D6E-409C-BE32-E72D297353CC}">
              <c16:uniqueId val="{00000003-1CC2-434C-AA57-AA125D333D27}"/>
            </c:ext>
          </c:extLst>
        </c:ser>
        <c:ser>
          <c:idx val="4"/>
          <c:order val="4"/>
          <c:tx>
            <c:strRef>
              <c:f>'Résultats sommaires'!$Q$7</c:f>
              <c:strCache>
                <c:ptCount val="1"/>
                <c:pt idx="0">
                  <c:v>SOYA - AVOINE - CANOLA - AVOINE</c:v>
                </c:pt>
              </c:strCache>
            </c:strRef>
          </c:tx>
          <c:spPr>
            <a:ln w="28575" cap="rnd">
              <a:solidFill>
                <a:schemeClr val="accent5"/>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sommaires'!$R$7:$T$7</c:f>
              <c:numCache>
                <c:formatCode>#\ ##0\ "$"</c:formatCode>
                <c:ptCount val="3"/>
                <c:pt idx="0">
                  <c:v>505.40580000000006</c:v>
                </c:pt>
                <c:pt idx="1">
                  <c:v>530.51411999999993</c:v>
                </c:pt>
                <c:pt idx="2">
                  <c:v>555.6224400000001</c:v>
                </c:pt>
              </c:numCache>
            </c:numRef>
          </c:val>
          <c:smooth val="0"/>
          <c:extLst>
            <c:ext xmlns:c16="http://schemas.microsoft.com/office/drawing/2014/chart" uri="{C3380CC4-5D6E-409C-BE32-E72D297353CC}">
              <c16:uniqueId val="{00000004-1CC2-434C-AA57-AA125D333D27}"/>
            </c:ext>
          </c:extLst>
        </c:ser>
        <c:ser>
          <c:idx val="5"/>
          <c:order val="5"/>
          <c:tx>
            <c:strRef>
              <c:f>'Résultats sommaires'!$Q$8</c:f>
              <c:strCache>
                <c:ptCount val="1"/>
                <c:pt idx="0">
                  <c:v>SOYA - ORGE - CANOLA - ORGE</c:v>
                </c:pt>
              </c:strCache>
            </c:strRef>
          </c:tx>
          <c:spPr>
            <a:ln w="28575" cap="rnd">
              <a:solidFill>
                <a:schemeClr val="accent6"/>
              </a:solidFill>
              <a:round/>
            </a:ln>
            <a:effectLst/>
          </c:spPr>
          <c:marker>
            <c:symbol val="none"/>
          </c:marker>
          <c:cat>
            <c:strRef>
              <c:f>'Résultats sommaires'!$R$2:$T$2</c:f>
              <c:strCache>
                <c:ptCount val="3"/>
                <c:pt idx="0">
                  <c:v>Moyenne annuelle 
Cycle 1</c:v>
                </c:pt>
                <c:pt idx="1">
                  <c:v>Moyenne annuelle 
Cycle 2</c:v>
                </c:pt>
                <c:pt idx="2">
                  <c:v>Moyenne annuelle 
Cycle 3</c:v>
                </c:pt>
              </c:strCache>
            </c:strRef>
          </c:cat>
          <c:val>
            <c:numRef>
              <c:f>'Résultats sommaires'!$R$8:$T$8</c:f>
              <c:numCache>
                <c:formatCode>#\ ##0\ "$"</c:formatCode>
                <c:ptCount val="3"/>
                <c:pt idx="0">
                  <c:v>581.08754999999996</c:v>
                </c:pt>
                <c:pt idx="1">
                  <c:v>610.17393749999985</c:v>
                </c:pt>
                <c:pt idx="2">
                  <c:v>639.26032500000008</c:v>
                </c:pt>
              </c:numCache>
            </c:numRef>
          </c:val>
          <c:smooth val="0"/>
          <c:extLst>
            <c:ext xmlns:c16="http://schemas.microsoft.com/office/drawing/2014/chart" uri="{C3380CC4-5D6E-409C-BE32-E72D297353CC}">
              <c16:uniqueId val="{00000005-1CC2-434C-AA57-AA125D333D27}"/>
            </c:ext>
          </c:extLst>
        </c:ser>
        <c:dLbls>
          <c:showLegendKey val="0"/>
          <c:showVal val="0"/>
          <c:showCatName val="0"/>
          <c:showSerName val="0"/>
          <c:showPercent val="0"/>
          <c:showBubbleSize val="0"/>
        </c:dLbls>
        <c:smooth val="0"/>
        <c:axId val="466700208"/>
        <c:axId val="466699224"/>
      </c:lineChart>
      <c:catAx>
        <c:axId val="4667002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466699224"/>
        <c:crosses val="autoZero"/>
        <c:auto val="1"/>
        <c:lblAlgn val="ctr"/>
        <c:lblOffset val="100"/>
        <c:noMultiLvlLbl val="0"/>
      </c:catAx>
      <c:valAx>
        <c:axId val="466699224"/>
        <c:scaling>
          <c:orientation val="minMax"/>
          <c:min val="25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46670020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frais monétaires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sommaires'!$Q$28</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sommaires'!$R$28:$T$28</c:f>
              <c:numCache>
                <c:formatCode>#\ ##0\ "$"</c:formatCode>
                <c:ptCount val="3"/>
                <c:pt idx="0">
                  <c:v>563.57699999999988</c:v>
                </c:pt>
                <c:pt idx="1">
                  <c:v>633.93211699999995</c:v>
                </c:pt>
                <c:pt idx="2">
                  <c:v>704.28723400000001</c:v>
                </c:pt>
              </c:numCache>
            </c:numRef>
          </c:val>
          <c:smooth val="0"/>
          <c:extLst>
            <c:ext xmlns:c16="http://schemas.microsoft.com/office/drawing/2014/chart" uri="{C3380CC4-5D6E-409C-BE32-E72D297353CC}">
              <c16:uniqueId val="{00000000-BCE6-4A71-8203-2BCE74A76745}"/>
            </c:ext>
          </c:extLst>
        </c:ser>
        <c:ser>
          <c:idx val="1"/>
          <c:order val="1"/>
          <c:tx>
            <c:strRef>
              <c:f>'Résultats sommaires'!$Q$29</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sommaires'!$R$29:$T$29</c:f>
              <c:numCache>
                <c:formatCode>#\ ##0\ "$"</c:formatCode>
                <c:ptCount val="3"/>
                <c:pt idx="0">
                  <c:v>674.04896666666662</c:v>
                </c:pt>
                <c:pt idx="1">
                  <c:v>749.82576366666672</c:v>
                </c:pt>
                <c:pt idx="2">
                  <c:v>825.60256066666682</c:v>
                </c:pt>
              </c:numCache>
            </c:numRef>
          </c:val>
          <c:smooth val="0"/>
          <c:extLst>
            <c:ext xmlns:c16="http://schemas.microsoft.com/office/drawing/2014/chart" uri="{C3380CC4-5D6E-409C-BE32-E72D297353CC}">
              <c16:uniqueId val="{00000001-BCE6-4A71-8203-2BCE74A76745}"/>
            </c:ext>
          </c:extLst>
        </c:ser>
        <c:ser>
          <c:idx val="2"/>
          <c:order val="2"/>
          <c:tx>
            <c:strRef>
              <c:f>'Résultats sommaires'!$Q$30</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sommaires'!$R$30:$T$30</c:f>
              <c:numCache>
                <c:formatCode>#\ ##0\ "$"</c:formatCode>
                <c:ptCount val="3"/>
                <c:pt idx="0">
                  <c:v>666.3098</c:v>
                </c:pt>
                <c:pt idx="1">
                  <c:v>711.05262500000003</c:v>
                </c:pt>
                <c:pt idx="2">
                  <c:v>755.79545000000007</c:v>
                </c:pt>
              </c:numCache>
            </c:numRef>
          </c:val>
          <c:smooth val="0"/>
          <c:extLst>
            <c:ext xmlns:c16="http://schemas.microsoft.com/office/drawing/2014/chart" uri="{C3380CC4-5D6E-409C-BE32-E72D297353CC}">
              <c16:uniqueId val="{00000002-BCE6-4A71-8203-2BCE74A76745}"/>
            </c:ext>
          </c:extLst>
        </c:ser>
        <c:ser>
          <c:idx val="3"/>
          <c:order val="3"/>
          <c:tx>
            <c:strRef>
              <c:f>'Résultats sommaires'!$Q$31</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sommaires'!$R$31:$T$31</c:f>
              <c:numCache>
                <c:formatCode>#\ ##0\ "$"</c:formatCode>
                <c:ptCount val="3"/>
                <c:pt idx="0">
                  <c:v>500.60184999999979</c:v>
                </c:pt>
                <c:pt idx="1">
                  <c:v>537.21215499999994</c:v>
                </c:pt>
                <c:pt idx="2">
                  <c:v>573.82246000000009</c:v>
                </c:pt>
              </c:numCache>
            </c:numRef>
          </c:val>
          <c:smooth val="0"/>
          <c:extLst>
            <c:ext xmlns:c16="http://schemas.microsoft.com/office/drawing/2014/chart" uri="{C3380CC4-5D6E-409C-BE32-E72D297353CC}">
              <c16:uniqueId val="{00000003-BCE6-4A71-8203-2BCE74A76745}"/>
            </c:ext>
          </c:extLst>
        </c:ser>
        <c:ser>
          <c:idx val="4"/>
          <c:order val="4"/>
          <c:tx>
            <c:strRef>
              <c:f>'Résultats sommaires'!$Q$32</c:f>
              <c:strCache>
                <c:ptCount val="1"/>
                <c:pt idx="0">
                  <c:v>SOYA - AVOINE - CANOLA - AVOINE</c:v>
                </c:pt>
              </c:strCache>
            </c:strRef>
          </c:tx>
          <c:spPr>
            <a:ln w="28575" cap="rnd">
              <a:solidFill>
                <a:schemeClr val="accent5"/>
              </a:solidFill>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sommaires'!$R$32:$T$32</c:f>
              <c:numCache>
                <c:formatCode>#\ ##0\ "$"</c:formatCode>
                <c:ptCount val="3"/>
                <c:pt idx="0">
                  <c:v>374.37080000000009</c:v>
                </c:pt>
                <c:pt idx="1">
                  <c:v>399.47911999999997</c:v>
                </c:pt>
                <c:pt idx="2">
                  <c:v>424.58744000000002</c:v>
                </c:pt>
              </c:numCache>
            </c:numRef>
          </c:val>
          <c:smooth val="0"/>
          <c:extLst>
            <c:ext xmlns:c16="http://schemas.microsoft.com/office/drawing/2014/chart" uri="{C3380CC4-5D6E-409C-BE32-E72D297353CC}">
              <c16:uniqueId val="{00000004-BCE6-4A71-8203-2BCE74A76745}"/>
            </c:ext>
          </c:extLst>
        </c:ser>
        <c:ser>
          <c:idx val="5"/>
          <c:order val="5"/>
          <c:tx>
            <c:strRef>
              <c:f>'Résultats sommaires'!$Q$33</c:f>
              <c:strCache>
                <c:ptCount val="1"/>
                <c:pt idx="0">
                  <c:v>SOYA - ORGE - CANOLA - ORGE</c:v>
                </c:pt>
              </c:strCache>
            </c:strRef>
          </c:tx>
          <c:spPr>
            <a:ln w="28575" cap="rnd">
              <a:solidFill>
                <a:schemeClr val="accent6"/>
              </a:solidFill>
              <a:round/>
            </a:ln>
            <a:effectLst/>
          </c:spPr>
          <c:marker>
            <c:symbol val="none"/>
          </c:marker>
          <c:cat>
            <c:strRef>
              <c:f>'Résultats sommaires'!$R$26:$T$27</c:f>
              <c:strCache>
                <c:ptCount val="3"/>
                <c:pt idx="0">
                  <c:v>Moyenne annuelle 
Cycle 1</c:v>
                </c:pt>
                <c:pt idx="1">
                  <c:v>Moyenne annuelle 
Cycle 2</c:v>
                </c:pt>
                <c:pt idx="2">
                  <c:v>Moyenne annuelle 
Cycle 3</c:v>
                </c:pt>
              </c:strCache>
            </c:strRef>
          </c:cat>
          <c:val>
            <c:numRef>
              <c:f>'Résultats sommaires'!$R$33:$T$33</c:f>
              <c:numCache>
                <c:formatCode>#\ ##0\ "$"</c:formatCode>
                <c:ptCount val="3"/>
                <c:pt idx="0">
                  <c:v>439.10255000000006</c:v>
                </c:pt>
                <c:pt idx="1">
                  <c:v>468.18893749999984</c:v>
                </c:pt>
                <c:pt idx="2">
                  <c:v>497.27532500000007</c:v>
                </c:pt>
              </c:numCache>
            </c:numRef>
          </c:val>
          <c:smooth val="0"/>
          <c:extLst>
            <c:ext xmlns:c16="http://schemas.microsoft.com/office/drawing/2014/chart" uri="{C3380CC4-5D6E-409C-BE32-E72D297353CC}">
              <c16:uniqueId val="{00000005-BCE6-4A71-8203-2BCE74A76745}"/>
            </c:ext>
          </c:extLst>
        </c:ser>
        <c:dLbls>
          <c:showLegendKey val="0"/>
          <c:showVal val="0"/>
          <c:showCatName val="0"/>
          <c:showSerName val="0"/>
          <c:showPercent val="0"/>
          <c:showBubbleSize val="0"/>
        </c:dLbls>
        <c:smooth val="0"/>
        <c:axId val="603969968"/>
        <c:axId val="603964720"/>
      </c:lineChart>
      <c:catAx>
        <c:axId val="603969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3964720"/>
        <c:crosses val="autoZero"/>
        <c:auto val="1"/>
        <c:lblAlgn val="ctr"/>
        <c:lblOffset val="100"/>
        <c:noMultiLvlLbl val="0"/>
      </c:catAx>
      <c:valAx>
        <c:axId val="603964720"/>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396996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r>
              <a:rPr lang="en-CA"/>
              <a:t>Marge bénéficiaire après les amortissements et les rémunérations du travail et de l'avoir de votre ferme, moyenne annuelle ($/ha)</a:t>
            </a:r>
          </a:p>
        </c:rich>
      </c:tx>
      <c:overlay val="0"/>
      <c:spPr>
        <a:noFill/>
        <a:ln>
          <a:noFill/>
        </a:ln>
        <a:effectLst/>
      </c:spPr>
      <c:txPr>
        <a:bodyPr rot="0" spcFirstLastPara="1" vertOverflow="ellipsis" vert="horz" wrap="square" anchor="ctr" anchorCtr="1"/>
        <a:lstStyle/>
        <a:p>
          <a:pPr>
            <a:defRPr sz="1320" b="1" i="0" u="none" strike="noStrike" kern="1200" spc="0" baseline="0">
              <a:solidFill>
                <a:sysClr val="windowText" lastClr="000000"/>
              </a:solidFill>
              <a:latin typeface="+mn-lt"/>
              <a:ea typeface="+mn-ea"/>
              <a:cs typeface="+mn-cs"/>
            </a:defRPr>
          </a:pPr>
          <a:endParaRPr lang="fr-FR"/>
        </a:p>
      </c:txPr>
    </c:title>
    <c:autoTitleDeleted val="0"/>
    <c:plotArea>
      <c:layout/>
      <c:lineChart>
        <c:grouping val="standard"/>
        <c:varyColors val="0"/>
        <c:ser>
          <c:idx val="0"/>
          <c:order val="0"/>
          <c:tx>
            <c:strRef>
              <c:f>'Résultats sommaires'!$Q$56</c:f>
              <c:strCache>
                <c:ptCount val="1"/>
                <c:pt idx="0">
                  <c:v>MG - SOYA - BLÉ DE PRINTEMPS PANIFIABLE</c:v>
                </c:pt>
              </c:strCache>
            </c:strRef>
          </c:tx>
          <c:spPr>
            <a:ln w="28575" cap="rnd">
              <a:solidFill>
                <a:schemeClr val="accent1"/>
              </a:solidFill>
              <a:prstDash val="sysDot"/>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sommaires'!$R$56:$T$56</c:f>
              <c:numCache>
                <c:formatCode>#\ ##0\ "$"</c:formatCode>
                <c:ptCount val="3"/>
                <c:pt idx="0">
                  <c:v>105.68033333333331</c:v>
                </c:pt>
                <c:pt idx="1">
                  <c:v>176.03545033333322</c:v>
                </c:pt>
                <c:pt idx="2">
                  <c:v>246.39056733333345</c:v>
                </c:pt>
              </c:numCache>
            </c:numRef>
          </c:val>
          <c:smooth val="0"/>
          <c:extLst>
            <c:ext xmlns:c16="http://schemas.microsoft.com/office/drawing/2014/chart" uri="{C3380CC4-5D6E-409C-BE32-E72D297353CC}">
              <c16:uniqueId val="{00000000-9AA5-4269-BC7F-E57326B072C4}"/>
            </c:ext>
          </c:extLst>
        </c:ser>
        <c:ser>
          <c:idx val="1"/>
          <c:order val="1"/>
          <c:tx>
            <c:strRef>
              <c:f>'Résultats sommaires'!$Q$57</c:f>
              <c:strCache>
                <c:ptCount val="1"/>
                <c:pt idx="0">
                  <c:v>MG - SOYA - BLÉ D'AUTOMNE PANIFIABLE</c:v>
                </c:pt>
              </c:strCache>
            </c:strRef>
          </c:tx>
          <c:spPr>
            <a:ln w="28575" cap="rnd">
              <a:solidFill>
                <a:schemeClr val="accent2"/>
              </a:solidFill>
              <a:prstDash val="sysDot"/>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sommaires'!$R$57:$T$57</c:f>
              <c:numCache>
                <c:formatCode>#\ ##0\ "$"</c:formatCode>
                <c:ptCount val="3"/>
                <c:pt idx="0">
                  <c:v>216.15230000000005</c:v>
                </c:pt>
                <c:pt idx="1">
                  <c:v>291.92909699999996</c:v>
                </c:pt>
                <c:pt idx="2">
                  <c:v>367.70589400000017</c:v>
                </c:pt>
              </c:numCache>
            </c:numRef>
          </c:val>
          <c:smooth val="0"/>
          <c:extLst>
            <c:ext xmlns:c16="http://schemas.microsoft.com/office/drawing/2014/chart" uri="{C3380CC4-5D6E-409C-BE32-E72D297353CC}">
              <c16:uniqueId val="{00000001-9AA5-4269-BC7F-E57326B072C4}"/>
            </c:ext>
          </c:extLst>
        </c:ser>
        <c:ser>
          <c:idx val="2"/>
          <c:order val="2"/>
          <c:tx>
            <c:strRef>
              <c:f>'Résultats sommaires'!$Q$58</c:f>
              <c:strCache>
                <c:ptCount val="1"/>
                <c:pt idx="0">
                  <c:v>SOYA - BLÉ D'AUTOMNE PANIFIABLE - CANOLA - BLÉ D'AUTOMNE PANIFIABLE</c:v>
                </c:pt>
              </c:strCache>
            </c:strRef>
          </c:tx>
          <c:spPr>
            <a:ln w="28575" cap="rnd">
              <a:solidFill>
                <a:srgbClr val="7030A0"/>
              </a:solidFill>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sommaires'!$R$58:$T$58</c:f>
              <c:numCache>
                <c:formatCode>#\ ##0\ "$"</c:formatCode>
                <c:ptCount val="3"/>
                <c:pt idx="0">
                  <c:v>311.63229999999993</c:v>
                </c:pt>
                <c:pt idx="1">
                  <c:v>356.37512499999997</c:v>
                </c:pt>
                <c:pt idx="2">
                  <c:v>401.11795000000006</c:v>
                </c:pt>
              </c:numCache>
            </c:numRef>
          </c:val>
          <c:smooth val="0"/>
          <c:extLst>
            <c:ext xmlns:c16="http://schemas.microsoft.com/office/drawing/2014/chart" uri="{C3380CC4-5D6E-409C-BE32-E72D297353CC}">
              <c16:uniqueId val="{00000002-9AA5-4269-BC7F-E57326B072C4}"/>
            </c:ext>
          </c:extLst>
        </c:ser>
        <c:ser>
          <c:idx val="3"/>
          <c:order val="3"/>
          <c:tx>
            <c:strRef>
              <c:f>'Résultats sommaires'!$Q$59</c:f>
              <c:strCache>
                <c:ptCount val="1"/>
                <c:pt idx="0">
                  <c:v>SOYA - BLÉ DE PRINTEMPS PANIFIABLE - CANOLA - BLÉ DE PRINTEMPS PANIFIABLE</c:v>
                </c:pt>
              </c:strCache>
            </c:strRef>
          </c:tx>
          <c:spPr>
            <a:ln w="28575" cap="rnd">
              <a:solidFill>
                <a:schemeClr val="accent4"/>
              </a:solidFill>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sommaires'!$R$59:$T$59</c:f>
              <c:numCache>
                <c:formatCode>#\ ##0\ "$"</c:formatCode>
                <c:ptCount val="3"/>
                <c:pt idx="0">
                  <c:v>145.92434999999983</c:v>
                </c:pt>
                <c:pt idx="1">
                  <c:v>182.53465499999987</c:v>
                </c:pt>
                <c:pt idx="2">
                  <c:v>219.14496000000003</c:v>
                </c:pt>
              </c:numCache>
            </c:numRef>
          </c:val>
          <c:smooth val="0"/>
          <c:extLst>
            <c:ext xmlns:c16="http://schemas.microsoft.com/office/drawing/2014/chart" uri="{C3380CC4-5D6E-409C-BE32-E72D297353CC}">
              <c16:uniqueId val="{00000003-9AA5-4269-BC7F-E57326B072C4}"/>
            </c:ext>
          </c:extLst>
        </c:ser>
        <c:ser>
          <c:idx val="4"/>
          <c:order val="4"/>
          <c:tx>
            <c:strRef>
              <c:f>'Résultats sommaires'!$Q$60</c:f>
              <c:strCache>
                <c:ptCount val="1"/>
                <c:pt idx="0">
                  <c:v>SOYA - AVOINE - CANOLA - AVOINE</c:v>
                </c:pt>
              </c:strCache>
            </c:strRef>
          </c:tx>
          <c:spPr>
            <a:ln w="28575" cap="rnd">
              <a:solidFill>
                <a:schemeClr val="accent5"/>
              </a:solidFill>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sommaires'!$R$60:$T$60</c:f>
              <c:numCache>
                <c:formatCode>#\ ##0\ "$"</c:formatCode>
                <c:ptCount val="3"/>
                <c:pt idx="0">
                  <c:v>68.368300000000062</c:v>
                </c:pt>
                <c:pt idx="1">
                  <c:v>93.476619999999997</c:v>
                </c:pt>
                <c:pt idx="2">
                  <c:v>118.5849400000001</c:v>
                </c:pt>
              </c:numCache>
            </c:numRef>
          </c:val>
          <c:smooth val="0"/>
          <c:extLst>
            <c:ext xmlns:c16="http://schemas.microsoft.com/office/drawing/2014/chart" uri="{C3380CC4-5D6E-409C-BE32-E72D297353CC}">
              <c16:uniqueId val="{00000004-9AA5-4269-BC7F-E57326B072C4}"/>
            </c:ext>
          </c:extLst>
        </c:ser>
        <c:ser>
          <c:idx val="5"/>
          <c:order val="5"/>
          <c:tx>
            <c:strRef>
              <c:f>'Résultats sommaires'!$Q$61</c:f>
              <c:strCache>
                <c:ptCount val="1"/>
                <c:pt idx="0">
                  <c:v>SOYA - ORGE - CANOLA - ORGE</c:v>
                </c:pt>
              </c:strCache>
            </c:strRef>
          </c:tx>
          <c:spPr>
            <a:ln w="28575" cap="rnd">
              <a:solidFill>
                <a:schemeClr val="accent6"/>
              </a:solidFill>
              <a:round/>
            </a:ln>
            <a:effectLst/>
          </c:spPr>
          <c:marker>
            <c:symbol val="none"/>
          </c:marker>
          <c:cat>
            <c:strRef>
              <c:f>'Résultats sommaires'!$R$55:$T$55</c:f>
              <c:strCache>
                <c:ptCount val="3"/>
                <c:pt idx="0">
                  <c:v>Moyenne annuelle 
Cycle 1</c:v>
                </c:pt>
                <c:pt idx="1">
                  <c:v>Moyenne annuelle 
Cycle 2</c:v>
                </c:pt>
                <c:pt idx="2">
                  <c:v>Moyenne annuelle 
Cycle 3</c:v>
                </c:pt>
              </c:strCache>
            </c:strRef>
          </c:cat>
          <c:val>
            <c:numRef>
              <c:f>'Résultats sommaires'!$R$61:$T$61</c:f>
              <c:numCache>
                <c:formatCode>#\ ##0\ "$"</c:formatCode>
                <c:ptCount val="3"/>
                <c:pt idx="0">
                  <c:v>82.050050000000056</c:v>
                </c:pt>
                <c:pt idx="1">
                  <c:v>111.13643749999989</c:v>
                </c:pt>
                <c:pt idx="2">
                  <c:v>140.22282500000011</c:v>
                </c:pt>
              </c:numCache>
            </c:numRef>
          </c:val>
          <c:smooth val="0"/>
          <c:extLst>
            <c:ext xmlns:c16="http://schemas.microsoft.com/office/drawing/2014/chart" uri="{C3380CC4-5D6E-409C-BE32-E72D297353CC}">
              <c16:uniqueId val="{00000005-9AA5-4269-BC7F-E57326B072C4}"/>
            </c:ext>
          </c:extLst>
        </c:ser>
        <c:dLbls>
          <c:showLegendKey val="0"/>
          <c:showVal val="0"/>
          <c:showCatName val="0"/>
          <c:showSerName val="0"/>
          <c:showPercent val="0"/>
          <c:showBubbleSize val="0"/>
        </c:dLbls>
        <c:smooth val="0"/>
        <c:axId val="607441824"/>
        <c:axId val="607438216"/>
      </c:lineChart>
      <c:catAx>
        <c:axId val="607441824"/>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7438216"/>
        <c:crosses val="autoZero"/>
        <c:auto val="1"/>
        <c:lblAlgn val="ctr"/>
        <c:lblOffset val="100"/>
        <c:noMultiLvlLbl val="0"/>
      </c:catAx>
      <c:valAx>
        <c:axId val="60743821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crossAx val="60744182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1100" b="1" i="0" u="none" strike="noStrike" kern="1200" baseline="0">
              <a:solidFill>
                <a:sysClr val="windowText" lastClr="000000"/>
              </a:solidFill>
              <a:latin typeface="+mn-lt"/>
              <a:ea typeface="+mn-ea"/>
              <a:cs typeface="+mn-cs"/>
            </a:defRPr>
          </a:pPr>
          <a:endParaRPr lang="fr-FR"/>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100" b="1">
          <a:solidFill>
            <a:sysClr val="windowText" lastClr="000000"/>
          </a:solidFill>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0</xdr:colOff>
      <xdr:row>0</xdr:row>
      <xdr:rowOff>0</xdr:rowOff>
    </xdr:from>
    <xdr:to>
      <xdr:col>15</xdr:col>
      <xdr:colOff>0</xdr:colOff>
      <xdr:row>23</xdr:row>
      <xdr:rowOff>0</xdr:rowOff>
    </xdr:to>
    <xdr:graphicFrame macro="">
      <xdr:nvGraphicFramePr>
        <xdr:cNvPr id="3" name="Graphique 2">
          <a:extLst>
            <a:ext uri="{FF2B5EF4-FFF2-40B4-BE49-F238E27FC236}">
              <a16:creationId xmlns:a16="http://schemas.microsoft.com/office/drawing/2014/main" id="{0407EA11-8B8D-CFA3-AA76-0D4B4BCF6BE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0</xdr:colOff>
      <xdr:row>24</xdr:row>
      <xdr:rowOff>0</xdr:rowOff>
    </xdr:from>
    <xdr:to>
      <xdr:col>15</xdr:col>
      <xdr:colOff>0</xdr:colOff>
      <xdr:row>48</xdr:row>
      <xdr:rowOff>0</xdr:rowOff>
    </xdr:to>
    <xdr:graphicFrame macro="">
      <xdr:nvGraphicFramePr>
        <xdr:cNvPr id="4" name="Graphique 3">
          <a:extLst>
            <a:ext uri="{FF2B5EF4-FFF2-40B4-BE49-F238E27FC236}">
              <a16:creationId xmlns:a16="http://schemas.microsoft.com/office/drawing/2014/main" id="{4572FD4F-8982-BD5C-7957-82CCAC485C1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0</xdr:colOff>
      <xdr:row>49</xdr:row>
      <xdr:rowOff>0</xdr:rowOff>
    </xdr:from>
    <xdr:to>
      <xdr:col>15</xdr:col>
      <xdr:colOff>0</xdr:colOff>
      <xdr:row>72</xdr:row>
      <xdr:rowOff>0</xdr:rowOff>
    </xdr:to>
    <xdr:graphicFrame macro="">
      <xdr:nvGraphicFramePr>
        <xdr:cNvPr id="5" name="Graphique 4">
          <a:extLst>
            <a:ext uri="{FF2B5EF4-FFF2-40B4-BE49-F238E27FC236}">
              <a16:creationId xmlns:a16="http://schemas.microsoft.com/office/drawing/2014/main" id="{A26D146C-24C7-FB41-98BD-448CE269E57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788893</xdr:colOff>
      <xdr:row>0</xdr:row>
      <xdr:rowOff>0</xdr:rowOff>
    </xdr:from>
    <xdr:to>
      <xdr:col>30</xdr:col>
      <xdr:colOff>0</xdr:colOff>
      <xdr:row>23</xdr:row>
      <xdr:rowOff>0</xdr:rowOff>
    </xdr:to>
    <xdr:graphicFrame macro="">
      <xdr:nvGraphicFramePr>
        <xdr:cNvPr id="6" name="Graphique 5">
          <a:extLst>
            <a:ext uri="{FF2B5EF4-FFF2-40B4-BE49-F238E27FC236}">
              <a16:creationId xmlns:a16="http://schemas.microsoft.com/office/drawing/2014/main" id="{03ABF975-DE87-C52D-1D5E-6CC0BE0B7A3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20</xdr:col>
      <xdr:colOff>788893</xdr:colOff>
      <xdr:row>23</xdr:row>
      <xdr:rowOff>179293</xdr:rowOff>
    </xdr:from>
    <xdr:to>
      <xdr:col>29</xdr:col>
      <xdr:colOff>788893</xdr:colOff>
      <xdr:row>48</xdr:row>
      <xdr:rowOff>0</xdr:rowOff>
    </xdr:to>
    <xdr:graphicFrame macro="">
      <xdr:nvGraphicFramePr>
        <xdr:cNvPr id="2" name="Graphique 1">
          <a:extLst>
            <a:ext uri="{FF2B5EF4-FFF2-40B4-BE49-F238E27FC236}">
              <a16:creationId xmlns:a16="http://schemas.microsoft.com/office/drawing/2014/main" id="{564D4D06-4CFF-128D-5B74-C056A24BA9F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21</xdr:col>
      <xdr:colOff>0</xdr:colOff>
      <xdr:row>49</xdr:row>
      <xdr:rowOff>0</xdr:rowOff>
    </xdr:from>
    <xdr:to>
      <xdr:col>30</xdr:col>
      <xdr:colOff>0</xdr:colOff>
      <xdr:row>72</xdr:row>
      <xdr:rowOff>0</xdr:rowOff>
    </xdr:to>
    <xdr:graphicFrame macro="">
      <xdr:nvGraphicFramePr>
        <xdr:cNvPr id="7" name="Graphique 6">
          <a:extLst>
            <a:ext uri="{FF2B5EF4-FFF2-40B4-BE49-F238E27FC236}">
              <a16:creationId xmlns:a16="http://schemas.microsoft.com/office/drawing/2014/main" id="{A0BBA6EB-393B-0607-A56E-9519A38AD8A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wsDr>
</file>

<file path=xl/persons/person.xml><?xml version="1.0" encoding="utf-8"?>
<personList xmlns="http://schemas.microsoft.com/office/spreadsheetml/2018/threadedcomments" xmlns:x="http://schemas.openxmlformats.org/spreadsheetml/2006/main">
  <person displayName="Philippe Leriche" id="{36ED1B94-5635-4769-83E1-4887D5DFE317}" userId="Philippe Leriche" providerId="None"/>
</personList>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56" dT="2023-01-13T18:48:25.28" personId="{36ED1B94-5635-4769-83E1-4887D5DFE317}" id="{A58CB9FE-FBA2-461E-A4C3-AC91B8A7EC61}">
    <text xml:space="preserve">Les analyses sont effectuées sur trois cycles de rotation. Un cycle de rotation varie entre 3 à 4 ans en fonction du nombre de cultures. Par exemple une rotation MG-Soya-Blé de printemps représente un cycle de 3 ans (an 1 = MG, an 2 = Soya et an 3 = blé de printemps) tandis qu’une rotation Soya-Blé de printemps-Canola-Blé de printemps représente un cycle de 4 ans (an 1 = Soya, an 2 = Blé de printemps, an 3 = Canola et an 4 = Blé de printemps). </text>
  </threadedComment>
</ThreadedComments>
</file>

<file path=xl/threadedComments/threadedComment2.xml><?xml version="1.0" encoding="utf-8"?>
<ThreadedComments xmlns="http://schemas.microsoft.com/office/spreadsheetml/2018/threadedcomments" xmlns:x="http://schemas.openxmlformats.org/spreadsheetml/2006/main">
  <threadedComment ref="E2" dT="2022-11-28T17:12:25.66" personId="{36ED1B94-5635-4769-83E1-4887D5DFE317}" id="{74E71516-E233-4C2D-9878-F66567ED410C}">
    <text>Les données du CECPA ne divisent pas les coûts de production de maïs-grain entre les régions centrales et les régions périphériques. Les coûts figurant ci-dessous correspondent donc aux coûts globaux pour le maïs-grain.</text>
  </threadedComment>
  <threadedComment ref="G20" dT="2022-10-19T14:21:37.92" personId="{36ED1B94-5635-4769-83E1-4887D5DFE317}" id="{C89E7EA1-667B-47E8-8C83-2F07C43FDAD5}">
    <text>Si vous avez une charge globale, inscrivez la totalité de la charge dans une même cellule.</text>
  </threadedComment>
</ThreadedComments>
</file>

<file path=xl/threadedComments/threadedComment3.xml><?xml version="1.0" encoding="utf-8"?>
<ThreadedComments xmlns="http://schemas.microsoft.com/office/spreadsheetml/2018/threadedcomments" xmlns:x="http://schemas.openxmlformats.org/spreadsheetml/2006/main">
  <threadedComment ref="G19" dT="2022-10-19T14:21:37.92" personId="{36ED1B94-5635-4769-83E1-4887D5DFE317}" id="{948E878C-2CC3-4225-AA0E-8251E1595A7C}">
    <text>Si vous avez une charge globale, inscrivez la totalité de la charge dans une même cellule.</text>
  </threadedComment>
</ThreadedComments>
</file>

<file path=xl/threadedComments/threadedComment4.xml><?xml version="1.0" encoding="utf-8"?>
<ThreadedComments xmlns="http://schemas.microsoft.com/office/spreadsheetml/2018/threadedcomments" xmlns:x="http://schemas.openxmlformats.org/spreadsheetml/2006/main">
  <threadedComment ref="E16" dT="2022-11-14T18:44:51.07" personId="{36ED1B94-5635-4769-83E1-4887D5DFE317}" id="{045C6F67-E7BD-48D2-BFB3-3566746EBAA1}">
    <text>Ce poste budgétaire inclut les charges de fertilisants et de chaux, qui sont regroupées dans les études de coûts du CECPA.</text>
  </threadedComment>
  <threadedComment ref="E20" dT="2022-11-14T19:23:05.97" personId="{36ED1B94-5635-4769-83E1-4887D5DFE317}" id="{18F773B7-354D-4D2B-8846-C9C4BE55F775}">
    <text>Les charges de location de machinerie et bâtiments, de fonds de terre et de travaux à forfait puisque les études de coûts du CECPA regroupent ces charges.</text>
  </threadedComment>
  <threadedComment ref="E24" dT="2022-11-14T19:25:57.10" personId="{36ED1B94-5635-4769-83E1-4887D5DFE317}" id="{3D4E1BA1-8DF7-4752-ABAA-95D4EBA3823F}">
    <text>Les charges d'entretien et réparation machinerie regroupent les charges de carburants et gaz propane pour refléter les charges "opérations culturales" dans les études de coûts du CECPA</text>
  </threadedComment>
  <threadedComment ref="E44" dT="2022-11-14T19:32:24.35" personId="{36ED1B94-5635-4769-83E1-4887D5DFE317}" id="{5C299C82-F4B1-4A05-B290-1265613C3EC8}">
    <text>Le poste "Autres frais" réfère au poste "Autres frais" des études de coûts du CECPA. Il est possible que ces autres coûts incluent les charges d'Assurances diverses, de taxes foncières et d'intérêts à moyen et long terme.</text>
  </threadedComment>
</ThreadedComments>
</file>

<file path=xl/threadedComments/threadedComment5.xml><?xml version="1.0" encoding="utf-8"?>
<ThreadedComments xmlns="http://schemas.microsoft.com/office/spreadsheetml/2018/threadedcomments" xmlns:x="http://schemas.openxmlformats.org/spreadsheetml/2006/main">
  <threadedComment ref="B3" dT="2023-01-13T18:46:26.05" personId="{36ED1B94-5635-4769-83E1-4887D5DFE317}" id="{7972F4D6-E57B-42AB-A598-56D56808FFE6}">
    <text>Les rendements retenus sont la moyenne des rendements de références de la FADQ de l'année 2022 pour les régions 1, 9 et 12.</text>
  </threadedComment>
  <threadedComment ref="B8" dT="2022-11-28T17:03:43.40" personId="{36ED1B94-5635-4769-83E1-4887D5DFE317}" id="{6E1DBF73-ECE8-49E8-829A-5A9505D3E834}">
    <text>Le CECPA ne distingue pas le rendement du blé d'automne et du blé de printemps. Des producteurs agricoles et agronomes nous ont informés que le blé d'automne possède un rendement entre 25 % et 50 % plus élevé que le blé de printemps. Nous retenons ici un rendement supérieur correspondant à 25 % de plus que le rendement du blé de printemps. Cette information peut être modifiée pour les exploitations agricoles en indiquant le rendement des productions elles-mêmes dans l'onglet "Saisie" sous la section "Vos rendements".</text>
  </threadedComment>
</ThreadedComments>
</file>

<file path=xl/threadedComments/threadedComment6.xml><?xml version="1.0" encoding="utf-8"?>
<ThreadedComments xmlns="http://schemas.microsoft.com/office/spreadsheetml/2018/threadedcomments" xmlns:x="http://schemas.openxmlformats.org/spreadsheetml/2006/main">
  <threadedComment ref="B3" dT="2023-01-13T19:30:15.63" personId="{36ED1B94-5635-4769-83E1-4887D5DFE317}" id="{3089A2C5-94B0-47A9-BCE6-E4859AF7263F}">
    <text xml:space="preserve">Les analyses sont effectuées sur trois cycles de rotation. Un cycle de rotation varie entre 3 à 4 ans en fonction du nombre de cultures. Par exemple une rotation MG-Soya-Blé de printemps représente un cycle de 3 ans (an 1 = MG, an 2 = Soya et an 3 = blé de printemps) tandis qu’une rotation Soya-Blé de printemps-Canola-Blé de printemps représente un cycle de 4 ans (an 1 = Soya, an 2 = Blé de printemps, an 3 = Canola et an 4 = Blé de printemps). </text>
  </threadedComment>
</ThreadedComments>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marlenethiboutot@concertationgrainsquebec.ca"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microsoft.com/office/2017/10/relationships/threadedComment" Target="../threadedComments/threadedComment2.x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 Id="rId4" Type="http://schemas.microsoft.com/office/2017/10/relationships/threadedComment" Target="../threadedComments/threadedComment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3" Type="http://schemas.microsoft.com/office/2017/10/relationships/threadedComment" Target="../threadedComments/threadedComment4.xml"/><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14.xml.rels><?xml version="1.0" encoding="UTF-8" standalone="yes"?>
<Relationships xmlns="http://schemas.openxmlformats.org/package/2006/relationships"><Relationship Id="rId3" Type="http://schemas.microsoft.com/office/2017/10/relationships/threadedComment" Target="../threadedComments/threadedComment5.xml"/><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 Id="rId4" Type="http://schemas.microsoft.com/office/2017/10/relationships/threadedComment" Target="../threadedComments/threadedComment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BB2044-8F91-49E0-A23A-08C257DA2917}">
  <sheetPr>
    <tabColor theme="5" tint="0.79998168889431442"/>
  </sheetPr>
  <dimension ref="A1:H23"/>
  <sheetViews>
    <sheetView zoomScaleNormal="100" workbookViewId="0"/>
  </sheetViews>
  <sheetFormatPr baseColWidth="10" defaultColWidth="10.85546875" defaultRowHeight="15" x14ac:dyDescent="0.25"/>
  <cols>
    <col min="1" max="1" width="19.42578125" customWidth="1"/>
  </cols>
  <sheetData>
    <row r="1" spans="1:8" x14ac:dyDescent="0.25">
      <c r="A1" s="10" t="s">
        <v>57</v>
      </c>
      <c r="B1" s="11"/>
      <c r="C1" s="11"/>
      <c r="D1" s="11"/>
      <c r="E1" s="11"/>
      <c r="F1" s="11"/>
      <c r="G1" s="11"/>
      <c r="H1" s="11"/>
    </row>
    <row r="2" spans="1:8" ht="27.6" customHeight="1" x14ac:dyDescent="0.25">
      <c r="A2" s="91" t="s">
        <v>151</v>
      </c>
      <c r="B2" s="91"/>
      <c r="C2" s="91"/>
      <c r="D2" s="91"/>
      <c r="E2" s="91"/>
      <c r="F2" s="91"/>
      <c r="G2" s="91"/>
      <c r="H2" s="91"/>
    </row>
    <row r="4" spans="1:8" x14ac:dyDescent="0.25">
      <c r="A4" s="10" t="s">
        <v>58</v>
      </c>
      <c r="B4" s="11"/>
      <c r="C4" s="11"/>
      <c r="D4" s="11"/>
      <c r="E4" s="11"/>
      <c r="F4" s="11"/>
      <c r="G4" s="11"/>
      <c r="H4" s="11"/>
    </row>
    <row r="5" spans="1:8" ht="220.5" customHeight="1" x14ac:dyDescent="0.25">
      <c r="A5" s="12" t="s">
        <v>59</v>
      </c>
      <c r="B5" s="91" t="s">
        <v>192</v>
      </c>
      <c r="C5" s="91"/>
      <c r="D5" s="91"/>
      <c r="E5" s="91"/>
      <c r="F5" s="91"/>
      <c r="G5" s="91"/>
      <c r="H5" s="91"/>
    </row>
    <row r="6" spans="1:8" ht="80.45" customHeight="1" x14ac:dyDescent="0.25">
      <c r="A6" s="13" t="s">
        <v>200</v>
      </c>
      <c r="B6" s="91" t="s">
        <v>117</v>
      </c>
      <c r="C6" s="91"/>
      <c r="D6" s="91"/>
      <c r="E6" s="91"/>
      <c r="F6" s="91"/>
      <c r="G6" s="91"/>
      <c r="H6" s="91"/>
    </row>
    <row r="7" spans="1:8" ht="43.7" hidden="1" customHeight="1" x14ac:dyDescent="0.25">
      <c r="A7" s="13" t="s">
        <v>193</v>
      </c>
      <c r="B7" s="92" t="s">
        <v>194</v>
      </c>
      <c r="C7" s="92"/>
      <c r="D7" s="92"/>
      <c r="E7" s="92"/>
      <c r="F7" s="92"/>
      <c r="G7" s="92"/>
      <c r="H7" s="92"/>
    </row>
    <row r="8" spans="1:8" ht="30" hidden="1" x14ac:dyDescent="0.25">
      <c r="A8" s="13" t="s">
        <v>132</v>
      </c>
      <c r="B8" s="92" t="s">
        <v>195</v>
      </c>
      <c r="C8" s="92"/>
      <c r="D8" s="92"/>
      <c r="E8" s="92"/>
      <c r="F8" s="92"/>
      <c r="G8" s="92"/>
      <c r="H8" s="92"/>
    </row>
    <row r="9" spans="1:8" ht="32.450000000000003" hidden="1" customHeight="1" x14ac:dyDescent="0.25">
      <c r="A9" s="13" t="s">
        <v>118</v>
      </c>
      <c r="B9" s="91" t="s">
        <v>121</v>
      </c>
      <c r="C9" s="91"/>
      <c r="D9" s="91"/>
      <c r="E9" s="91"/>
      <c r="F9" s="91"/>
      <c r="G9" s="91"/>
      <c r="H9" s="91"/>
    </row>
    <row r="10" spans="1:8" ht="32.450000000000003" hidden="1" customHeight="1" x14ac:dyDescent="0.25">
      <c r="A10" s="13" t="s">
        <v>119</v>
      </c>
      <c r="B10" s="91" t="s">
        <v>120</v>
      </c>
      <c r="C10" s="91"/>
      <c r="D10" s="91"/>
      <c r="E10" s="91"/>
      <c r="F10" s="91"/>
      <c r="G10" s="91"/>
      <c r="H10" s="91"/>
    </row>
    <row r="11" spans="1:8" ht="34.5" hidden="1" customHeight="1" x14ac:dyDescent="0.25">
      <c r="A11" s="13" t="s">
        <v>122</v>
      </c>
      <c r="B11" s="91" t="s">
        <v>123</v>
      </c>
      <c r="C11" s="91"/>
      <c r="D11" s="91"/>
      <c r="E11" s="91"/>
      <c r="F11" s="91"/>
      <c r="G11" s="91"/>
      <c r="H11" s="91"/>
    </row>
    <row r="12" spans="1:8" ht="44.1" customHeight="1" x14ac:dyDescent="0.25">
      <c r="A12" s="13" t="s">
        <v>196</v>
      </c>
      <c r="B12" s="91" t="s">
        <v>124</v>
      </c>
      <c r="C12" s="91"/>
      <c r="D12" s="91"/>
      <c r="E12" s="91"/>
      <c r="F12" s="91"/>
      <c r="G12" s="91"/>
      <c r="H12" s="91"/>
    </row>
    <row r="13" spans="1:8" ht="58.35" customHeight="1" x14ac:dyDescent="0.25">
      <c r="A13" s="13" t="s">
        <v>197</v>
      </c>
      <c r="B13" s="92" t="s">
        <v>198</v>
      </c>
      <c r="C13" s="92"/>
      <c r="D13" s="92"/>
      <c r="E13" s="92"/>
      <c r="F13" s="92"/>
      <c r="G13" s="92"/>
      <c r="H13" s="92"/>
    </row>
    <row r="15" spans="1:8" x14ac:dyDescent="0.25">
      <c r="A15" s="10" t="s">
        <v>60</v>
      </c>
      <c r="B15" s="11"/>
      <c r="C15" s="11"/>
      <c r="D15" s="11"/>
      <c r="E15" s="11"/>
      <c r="F15" s="11"/>
      <c r="G15" s="11"/>
      <c r="H15" s="11"/>
    </row>
    <row r="16" spans="1:8" ht="72.599999999999994" customHeight="1" x14ac:dyDescent="0.25">
      <c r="A16" s="91" t="s">
        <v>164</v>
      </c>
      <c r="B16" s="91"/>
      <c r="C16" s="91"/>
      <c r="D16" s="91"/>
      <c r="E16" s="91"/>
      <c r="F16" s="91"/>
      <c r="G16" s="91"/>
      <c r="H16" s="91"/>
    </row>
    <row r="18" spans="1:8" x14ac:dyDescent="0.25">
      <c r="A18" s="10" t="s">
        <v>61</v>
      </c>
      <c r="B18" s="11"/>
      <c r="C18" s="11"/>
      <c r="D18" s="11"/>
      <c r="E18" s="11"/>
      <c r="F18" s="11"/>
      <c r="G18" s="11"/>
      <c r="H18" s="11"/>
    </row>
    <row r="19" spans="1:8" x14ac:dyDescent="0.25">
      <c r="A19" s="91" t="s">
        <v>165</v>
      </c>
      <c r="B19" s="91"/>
      <c r="C19" s="91"/>
      <c r="D19" s="91"/>
      <c r="E19" s="91"/>
      <c r="F19" s="91"/>
      <c r="G19" s="91"/>
      <c r="H19" s="91"/>
    </row>
    <row r="20" spans="1:8" x14ac:dyDescent="0.25">
      <c r="A20" s="47" t="s">
        <v>166</v>
      </c>
    </row>
    <row r="22" spans="1:8" x14ac:dyDescent="0.25">
      <c r="A22" s="10" t="s">
        <v>182</v>
      </c>
      <c r="B22" s="11"/>
      <c r="C22" s="11"/>
      <c r="D22" s="11"/>
      <c r="E22" s="11"/>
      <c r="F22" s="11"/>
      <c r="G22" s="11"/>
      <c r="H22" s="11"/>
    </row>
    <row r="23" spans="1:8" ht="48" customHeight="1" x14ac:dyDescent="0.25">
      <c r="A23" s="90" t="s">
        <v>199</v>
      </c>
      <c r="B23" s="90"/>
      <c r="C23" s="90"/>
      <c r="D23" s="90"/>
      <c r="E23" s="90"/>
      <c r="F23" s="90"/>
      <c r="G23" s="90"/>
      <c r="H23" s="90"/>
    </row>
  </sheetData>
  <mergeCells count="13">
    <mergeCell ref="A23:H23"/>
    <mergeCell ref="A19:H19"/>
    <mergeCell ref="A2:H2"/>
    <mergeCell ref="B5:H5"/>
    <mergeCell ref="B6:H6"/>
    <mergeCell ref="A16:H16"/>
    <mergeCell ref="B9:H9"/>
    <mergeCell ref="B10:H10"/>
    <mergeCell ref="B11:H11"/>
    <mergeCell ref="B12:H12"/>
    <mergeCell ref="B7:H7"/>
    <mergeCell ref="B8:H8"/>
    <mergeCell ref="B13:H13"/>
  </mergeCells>
  <hyperlinks>
    <hyperlink ref="A20" r:id="rId1" xr:uid="{657E4AF7-23FF-42CE-A7F4-5ED7038F5A95}"/>
  </hyperlinks>
  <pageMargins left="0.7" right="0.7" top="0.75" bottom="0.75" header="0.3" footer="0.3"/>
  <pageSetup scale="93" orientation="portrait" r:id="rId2"/>
  <colBreaks count="1" manualBreakCount="1">
    <brk id="8" max="1048575" man="1"/>
  </col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AD4843-BFF4-4618-A90C-C8ABAD344A8D}">
  <sheetPr>
    <tabColor theme="5" tint="0.79998168889431442"/>
  </sheetPr>
  <dimension ref="A1:C67"/>
  <sheetViews>
    <sheetView zoomScaleNormal="100" workbookViewId="0"/>
  </sheetViews>
  <sheetFormatPr baseColWidth="10" defaultColWidth="10.85546875" defaultRowHeight="15" x14ac:dyDescent="0.25"/>
  <cols>
    <col min="1" max="1" width="25.42578125" customWidth="1"/>
    <col min="2" max="2" width="31.42578125" customWidth="1"/>
    <col min="3" max="3" width="22.85546875" customWidth="1"/>
  </cols>
  <sheetData>
    <row r="1" spans="1:3" x14ac:dyDescent="0.25">
      <c r="A1" s="10" t="s">
        <v>55</v>
      </c>
      <c r="B1" s="11" t="s">
        <v>161</v>
      </c>
    </row>
    <row r="2" spans="1:3" x14ac:dyDescent="0.25">
      <c r="A2" s="10" t="s">
        <v>56</v>
      </c>
      <c r="B2" s="11" t="s">
        <v>50</v>
      </c>
    </row>
    <row r="4" spans="1:3" x14ac:dyDescent="0.25">
      <c r="A4" s="10" t="s">
        <v>53</v>
      </c>
      <c r="B4" s="11"/>
      <c r="C4" s="11"/>
    </row>
    <row r="5" spans="1:3" ht="57" customHeight="1" x14ac:dyDescent="0.25">
      <c r="A5" s="91" t="s">
        <v>4</v>
      </c>
      <c r="B5" s="91"/>
      <c r="C5" s="91"/>
    </row>
    <row r="6" spans="1:3" x14ac:dyDescent="0.25">
      <c r="B6" s="94" t="s">
        <v>175</v>
      </c>
      <c r="C6" s="94"/>
    </row>
    <row r="7" spans="1:3" x14ac:dyDescent="0.25">
      <c r="B7" s="22" t="s">
        <v>5</v>
      </c>
      <c r="C7" s="23" t="s">
        <v>6</v>
      </c>
    </row>
    <row r="8" spans="1:3" x14ac:dyDescent="0.25">
      <c r="A8" t="s">
        <v>0</v>
      </c>
      <c r="B8">
        <f>Rendements_CECPA!B3</f>
        <v>7.1</v>
      </c>
      <c r="C8" s="24"/>
    </row>
    <row r="9" spans="1:3" x14ac:dyDescent="0.25">
      <c r="A9" t="s">
        <v>163</v>
      </c>
      <c r="B9">
        <f>Rendements_CECPA!B4</f>
        <v>2.2999999999999998</v>
      </c>
      <c r="C9" s="24"/>
    </row>
    <row r="10" spans="1:3" x14ac:dyDescent="0.25">
      <c r="A10" t="s">
        <v>1</v>
      </c>
      <c r="B10">
        <f>Rendements_CECPA!B5</f>
        <v>2.7</v>
      </c>
      <c r="C10" s="24"/>
    </row>
    <row r="11" spans="1:3" x14ac:dyDescent="0.25">
      <c r="A11" t="s">
        <v>2</v>
      </c>
      <c r="B11">
        <f>Rendements_CECPA!B6</f>
        <v>3.3</v>
      </c>
      <c r="C11" s="24"/>
    </row>
    <row r="12" spans="1:3" x14ac:dyDescent="0.25">
      <c r="A12" t="s">
        <v>3</v>
      </c>
      <c r="B12">
        <f>Rendements_CECPA!B7</f>
        <v>2.6</v>
      </c>
      <c r="C12" s="24"/>
    </row>
    <row r="13" spans="1:3" x14ac:dyDescent="0.25">
      <c r="A13" t="s">
        <v>177</v>
      </c>
      <c r="B13">
        <f>Rendements_CECPA!B9</f>
        <v>3.2</v>
      </c>
      <c r="C13" s="24"/>
    </row>
    <row r="14" spans="1:3" x14ac:dyDescent="0.25">
      <c r="A14" s="63" t="s">
        <v>178</v>
      </c>
      <c r="B14" s="43">
        <f>Rendements_CECPA!B8</f>
        <v>4</v>
      </c>
      <c r="C14" s="24"/>
    </row>
    <row r="15" spans="1:3" x14ac:dyDescent="0.25">
      <c r="A15" t="s">
        <v>169</v>
      </c>
      <c r="B15" s="43">
        <f>Rendements_CECPA!B10</f>
        <v>1.8</v>
      </c>
      <c r="C15" s="24"/>
    </row>
    <row r="17" spans="1:3" x14ac:dyDescent="0.25">
      <c r="A17" s="10" t="s">
        <v>54</v>
      </c>
      <c r="B17" s="11"/>
      <c r="C17" s="11"/>
    </row>
    <row r="18" spans="1:3" ht="43.7" customHeight="1" x14ac:dyDescent="0.25">
      <c r="A18" s="91" t="s">
        <v>9</v>
      </c>
      <c r="B18" s="91"/>
      <c r="C18" s="91"/>
    </row>
    <row r="19" spans="1:3" x14ac:dyDescent="0.25">
      <c r="B19" s="94" t="s">
        <v>176</v>
      </c>
      <c r="C19" s="94"/>
    </row>
    <row r="20" spans="1:3" x14ac:dyDescent="0.25">
      <c r="B20" s="22" t="s">
        <v>7</v>
      </c>
      <c r="C20" s="23" t="s">
        <v>8</v>
      </c>
    </row>
    <row r="21" spans="1:3" x14ac:dyDescent="0.25">
      <c r="A21" t="s">
        <v>0</v>
      </c>
      <c r="B21" s="41">
        <f>Prix_CECPA!B3</f>
        <v>341</v>
      </c>
      <c r="C21" s="24"/>
    </row>
    <row r="22" spans="1:3" x14ac:dyDescent="0.25">
      <c r="A22" t="s">
        <v>163</v>
      </c>
      <c r="B22" s="41">
        <f>Prix_CECPA!B4</f>
        <v>681</v>
      </c>
      <c r="C22" s="24"/>
    </row>
    <row r="23" spans="1:3" x14ac:dyDescent="0.25">
      <c r="A23" t="s">
        <v>1</v>
      </c>
      <c r="B23" s="41">
        <f>Prix_CECPA!B5</f>
        <v>580</v>
      </c>
      <c r="C23" s="24"/>
    </row>
    <row r="24" spans="1:3" x14ac:dyDescent="0.25">
      <c r="A24" t="s">
        <v>2</v>
      </c>
      <c r="B24" s="41">
        <f>Prix_CECPA!B6</f>
        <v>275</v>
      </c>
      <c r="C24" s="24"/>
    </row>
    <row r="25" spans="1:3" x14ac:dyDescent="0.25">
      <c r="A25" t="s">
        <v>3</v>
      </c>
      <c r="B25" s="41">
        <f>Prix_CECPA!B7</f>
        <v>278</v>
      </c>
      <c r="C25" s="24"/>
    </row>
    <row r="26" spans="1:3" x14ac:dyDescent="0.25">
      <c r="A26" t="s">
        <v>177</v>
      </c>
      <c r="B26" s="41">
        <f>Prix_CECPA!B9</f>
        <v>366</v>
      </c>
      <c r="C26" s="24"/>
    </row>
    <row r="27" spans="1:3" x14ac:dyDescent="0.25">
      <c r="A27" t="s">
        <v>178</v>
      </c>
      <c r="B27" s="41">
        <f>Prix_CECPA!B8</f>
        <v>366</v>
      </c>
      <c r="C27" s="24"/>
    </row>
    <row r="28" spans="1:3" x14ac:dyDescent="0.25">
      <c r="A28" t="s">
        <v>169</v>
      </c>
      <c r="B28" s="41">
        <f>Prix_CECPA!B10</f>
        <v>459</v>
      </c>
      <c r="C28" s="24"/>
    </row>
    <row r="30" spans="1:3" x14ac:dyDescent="0.25">
      <c r="A30" s="10" t="s">
        <v>106</v>
      </c>
      <c r="B30" s="11"/>
      <c r="C30" s="11"/>
    </row>
    <row r="31" spans="1:3" ht="75" customHeight="1" x14ac:dyDescent="0.25">
      <c r="A31" s="91" t="s">
        <v>125</v>
      </c>
      <c r="B31" s="91"/>
      <c r="C31" s="91"/>
    </row>
    <row r="32" spans="1:3" ht="14.45" customHeight="1" x14ac:dyDescent="0.25">
      <c r="A32" s="32"/>
      <c r="B32" s="32"/>
      <c r="C32" s="32"/>
    </row>
    <row r="33" spans="1:3" ht="14.45" customHeight="1" x14ac:dyDescent="0.25">
      <c r="A33" s="32"/>
      <c r="B33" s="29" t="s">
        <v>132</v>
      </c>
      <c r="C33" s="32"/>
    </row>
    <row r="34" spans="1:3" ht="27" customHeight="1" x14ac:dyDescent="0.25">
      <c r="A34" s="32" t="s">
        <v>141</v>
      </c>
      <c r="B34" s="24" t="s">
        <v>144</v>
      </c>
      <c r="C34" s="32"/>
    </row>
    <row r="35" spans="1:3" ht="14.45" customHeight="1" x14ac:dyDescent="0.25">
      <c r="A35" s="32"/>
      <c r="B35" s="32"/>
      <c r="C35" s="32"/>
    </row>
    <row r="36" spans="1:3" ht="14.45" customHeight="1" x14ac:dyDescent="0.25">
      <c r="A36" s="32"/>
      <c r="B36" s="32"/>
      <c r="C36" s="32"/>
    </row>
    <row r="37" spans="1:3" x14ac:dyDescent="0.25">
      <c r="B37" s="93" t="s">
        <v>108</v>
      </c>
      <c r="C37" s="93"/>
    </row>
    <row r="38" spans="1:3" x14ac:dyDescent="0.25">
      <c r="B38" s="22" t="s">
        <v>108</v>
      </c>
      <c r="C38" s="23" t="s">
        <v>109</v>
      </c>
    </row>
    <row r="39" spans="1:3" x14ac:dyDescent="0.25">
      <c r="A39" t="s">
        <v>0</v>
      </c>
      <c r="B39" s="30">
        <f>IF(B34="Oui",11%,0%)</f>
        <v>0.11</v>
      </c>
      <c r="C39" s="24"/>
    </row>
    <row r="40" spans="1:3" x14ac:dyDescent="0.25">
      <c r="A40" t="s">
        <v>163</v>
      </c>
      <c r="B40" s="30">
        <v>0</v>
      </c>
      <c r="C40" s="24"/>
    </row>
    <row r="41" spans="1:3" x14ac:dyDescent="0.25">
      <c r="A41" t="s">
        <v>1</v>
      </c>
      <c r="B41" s="30">
        <v>0</v>
      </c>
      <c r="C41" s="24"/>
    </row>
    <row r="42" spans="1:3" x14ac:dyDescent="0.25">
      <c r="A42" t="s">
        <v>2</v>
      </c>
      <c r="B42" s="30">
        <f>IF($B$34="Oui",11%,0%)</f>
        <v>0.11</v>
      </c>
      <c r="C42" s="48"/>
    </row>
    <row r="43" spans="1:3" x14ac:dyDescent="0.25">
      <c r="A43" t="s">
        <v>3</v>
      </c>
      <c r="B43" s="30">
        <f t="shared" ref="B43:B45" si="0">IF($B$34="Oui",11%,0%)</f>
        <v>0.11</v>
      </c>
      <c r="C43" s="24"/>
    </row>
    <row r="44" spans="1:3" x14ac:dyDescent="0.25">
      <c r="A44" t="s">
        <v>177</v>
      </c>
      <c r="B44" s="30">
        <f t="shared" si="0"/>
        <v>0.11</v>
      </c>
      <c r="C44" s="24"/>
    </row>
    <row r="45" spans="1:3" x14ac:dyDescent="0.25">
      <c r="A45" t="s">
        <v>178</v>
      </c>
      <c r="B45" s="30">
        <f t="shared" si="0"/>
        <v>0.11</v>
      </c>
      <c r="C45" s="24"/>
    </row>
    <row r="46" spans="1:3" x14ac:dyDescent="0.25">
      <c r="A46" t="s">
        <v>169</v>
      </c>
      <c r="B46" s="30">
        <v>0</v>
      </c>
      <c r="C46" s="24"/>
    </row>
    <row r="48" spans="1:3" x14ac:dyDescent="0.25">
      <c r="B48" s="93" t="s">
        <v>111</v>
      </c>
      <c r="C48" s="93"/>
    </row>
    <row r="49" spans="1:3" x14ac:dyDescent="0.25">
      <c r="B49" s="22" t="s">
        <v>111</v>
      </c>
      <c r="C49" s="23" t="s">
        <v>113</v>
      </c>
    </row>
    <row r="50" spans="1:3" x14ac:dyDescent="0.25">
      <c r="A50" t="s">
        <v>112</v>
      </c>
      <c r="B50">
        <f>IF(B34="Oui",25,0)</f>
        <v>25</v>
      </c>
      <c r="C50" s="24"/>
    </row>
    <row r="51" spans="1:3" x14ac:dyDescent="0.25">
      <c r="A51" t="s">
        <v>147</v>
      </c>
      <c r="B51">
        <f>ROUND((985/1000)/0.46,2)</f>
        <v>2.14</v>
      </c>
      <c r="C51" s="24"/>
    </row>
    <row r="53" spans="1:3" ht="47.1" customHeight="1" x14ac:dyDescent="0.25">
      <c r="A53" s="92" t="s">
        <v>110</v>
      </c>
      <c r="B53" s="92"/>
      <c r="C53" s="92"/>
    </row>
    <row r="55" spans="1:3" x14ac:dyDescent="0.25">
      <c r="A55" s="10" t="s">
        <v>167</v>
      </c>
      <c r="B55" s="11"/>
      <c r="C55" s="11"/>
    </row>
    <row r="56" spans="1:3" ht="87" customHeight="1" x14ac:dyDescent="0.25">
      <c r="A56" s="91" t="s">
        <v>201</v>
      </c>
      <c r="B56" s="91"/>
      <c r="C56" s="91"/>
    </row>
    <row r="57" spans="1:3" x14ac:dyDescent="0.25">
      <c r="B57" s="93" t="s">
        <v>114</v>
      </c>
      <c r="C57" s="93"/>
    </row>
    <row r="58" spans="1:3" x14ac:dyDescent="0.25">
      <c r="B58" s="22" t="s">
        <v>115</v>
      </c>
      <c r="C58" s="23" t="s">
        <v>116</v>
      </c>
    </row>
    <row r="59" spans="1:3" x14ac:dyDescent="0.25">
      <c r="A59" t="s">
        <v>202</v>
      </c>
      <c r="B59" s="67">
        <v>0</v>
      </c>
      <c r="C59" s="48"/>
    </row>
    <row r="60" spans="1:3" x14ac:dyDescent="0.25">
      <c r="A60" t="s">
        <v>203</v>
      </c>
      <c r="B60" s="67">
        <v>0.5</v>
      </c>
      <c r="C60" s="48"/>
    </row>
    <row r="61" spans="1:3" x14ac:dyDescent="0.25">
      <c r="A61" t="s">
        <v>204</v>
      </c>
      <c r="B61" s="67">
        <v>1</v>
      </c>
      <c r="C61" s="48"/>
    </row>
    <row r="63" spans="1:3" x14ac:dyDescent="0.25">
      <c r="A63" s="10" t="s">
        <v>174</v>
      </c>
      <c r="B63" s="11"/>
      <c r="C63" s="11"/>
    </row>
    <row r="64" spans="1:3" ht="43.35" customHeight="1" x14ac:dyDescent="0.25">
      <c r="A64" s="95" t="s">
        <v>179</v>
      </c>
      <c r="B64" s="95"/>
      <c r="C64" s="95"/>
    </row>
    <row r="65" spans="2:3" x14ac:dyDescent="0.25">
      <c r="B65" s="93" t="s">
        <v>180</v>
      </c>
      <c r="C65" s="93"/>
    </row>
    <row r="66" spans="2:3" x14ac:dyDescent="0.25">
      <c r="B66" s="22" t="s">
        <v>180</v>
      </c>
      <c r="C66" s="23" t="s">
        <v>181</v>
      </c>
    </row>
    <row r="67" spans="2:3" x14ac:dyDescent="0.25">
      <c r="B67" s="64">
        <v>0</v>
      </c>
      <c r="C67" s="65"/>
    </row>
  </sheetData>
  <mergeCells count="12">
    <mergeCell ref="A64:C64"/>
    <mergeCell ref="B65:C65"/>
    <mergeCell ref="A53:C53"/>
    <mergeCell ref="B48:C48"/>
    <mergeCell ref="A56:C56"/>
    <mergeCell ref="B57:C57"/>
    <mergeCell ref="B37:C37"/>
    <mergeCell ref="B6:C6"/>
    <mergeCell ref="A5:C5"/>
    <mergeCell ref="A18:C18"/>
    <mergeCell ref="B19:C19"/>
    <mergeCell ref="A31:C31"/>
  </mergeCells>
  <dataValidations count="1">
    <dataValidation type="list" allowBlank="1" showInputMessage="1" showErrorMessage="1" sqref="B34" xr:uid="{23656E4D-5E82-4179-ABC2-34A18AEBA6BE}">
      <formula1>"Oui, Non"</formula1>
    </dataValidation>
  </dataValidation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7F11C-0202-44A0-AA99-0B02328B7BB6}">
  <dimension ref="A1:E12"/>
  <sheetViews>
    <sheetView zoomScaleNormal="100" workbookViewId="0">
      <selection sqref="A1:E1"/>
    </sheetView>
  </sheetViews>
  <sheetFormatPr baseColWidth="10" defaultColWidth="10.85546875" defaultRowHeight="15" x14ac:dyDescent="0.25"/>
  <cols>
    <col min="2" max="2" width="16.5703125" customWidth="1"/>
    <col min="3" max="3" width="41.85546875" customWidth="1"/>
    <col min="4" max="4" width="59" customWidth="1"/>
    <col min="5" max="5" width="50.5703125" customWidth="1"/>
  </cols>
  <sheetData>
    <row r="1" spans="1:5" x14ac:dyDescent="0.25">
      <c r="A1" s="93" t="s">
        <v>131</v>
      </c>
      <c r="B1" s="93"/>
      <c r="C1" s="93"/>
      <c r="D1" s="93"/>
      <c r="E1" s="93"/>
    </row>
    <row r="2" spans="1:5" x14ac:dyDescent="0.25">
      <c r="A2" s="1" t="s">
        <v>88</v>
      </c>
      <c r="B2" s="1" t="s">
        <v>89</v>
      </c>
      <c r="C2" s="1" t="s">
        <v>93</v>
      </c>
      <c r="D2" s="1" t="s">
        <v>90</v>
      </c>
      <c r="E2" s="1" t="s">
        <v>91</v>
      </c>
    </row>
    <row r="3" spans="1:5" ht="165" x14ac:dyDescent="0.25">
      <c r="A3" s="27">
        <v>2015</v>
      </c>
      <c r="B3" s="27" t="s">
        <v>92</v>
      </c>
      <c r="C3" s="28" t="s">
        <v>155</v>
      </c>
      <c r="D3" s="28" t="s">
        <v>156</v>
      </c>
      <c r="E3" s="28" t="s">
        <v>154</v>
      </c>
    </row>
    <row r="4" spans="1:5" ht="105" x14ac:dyDescent="0.25">
      <c r="A4" s="27">
        <v>2013</v>
      </c>
      <c r="B4" s="27" t="s">
        <v>92</v>
      </c>
      <c r="C4" s="28" t="s">
        <v>94</v>
      </c>
      <c r="D4" s="28" t="s">
        <v>95</v>
      </c>
      <c r="E4" s="96" t="s">
        <v>105</v>
      </c>
    </row>
    <row r="5" spans="1:5" ht="75" x14ac:dyDescent="0.25">
      <c r="A5" s="27">
        <v>2009</v>
      </c>
      <c r="B5" s="27" t="s">
        <v>96</v>
      </c>
      <c r="C5" s="28" t="s">
        <v>97</v>
      </c>
      <c r="D5" s="28" t="s">
        <v>98</v>
      </c>
      <c r="E5" s="96"/>
    </row>
    <row r="6" spans="1:5" ht="90" x14ac:dyDescent="0.25">
      <c r="A6" s="27">
        <v>2011</v>
      </c>
      <c r="B6" s="28" t="s">
        <v>99</v>
      </c>
      <c r="C6" s="28" t="s">
        <v>100</v>
      </c>
      <c r="D6" s="28" t="s">
        <v>101</v>
      </c>
      <c r="E6" s="96"/>
    </row>
    <row r="7" spans="1:5" ht="60" x14ac:dyDescent="0.25">
      <c r="A7" s="27">
        <v>2014</v>
      </c>
      <c r="B7" s="27" t="s">
        <v>102</v>
      </c>
      <c r="C7" s="28" t="s">
        <v>103</v>
      </c>
      <c r="D7" s="28" t="s">
        <v>104</v>
      </c>
      <c r="E7" s="96"/>
    </row>
    <row r="10" spans="1:5" x14ac:dyDescent="0.25">
      <c r="A10" s="93" t="s">
        <v>132</v>
      </c>
      <c r="B10" s="93"/>
      <c r="C10" s="93"/>
      <c r="D10" s="93"/>
      <c r="E10" s="93"/>
    </row>
    <row r="11" spans="1:5" x14ac:dyDescent="0.25">
      <c r="A11" s="1" t="s">
        <v>88</v>
      </c>
      <c r="B11" s="1" t="s">
        <v>89</v>
      </c>
      <c r="C11" s="1" t="s">
        <v>132</v>
      </c>
      <c r="D11" s="1" t="s">
        <v>90</v>
      </c>
      <c r="E11" s="1" t="s">
        <v>91</v>
      </c>
    </row>
    <row r="12" spans="1:5" ht="90" x14ac:dyDescent="0.25">
      <c r="A12" s="27">
        <v>2022</v>
      </c>
      <c r="B12" s="27" t="s">
        <v>130</v>
      </c>
      <c r="C12" s="28" t="s">
        <v>134</v>
      </c>
      <c r="D12" s="28" t="s">
        <v>133</v>
      </c>
      <c r="E12" s="28" t="s">
        <v>135</v>
      </c>
    </row>
  </sheetData>
  <mergeCells count="3">
    <mergeCell ref="E4:E7"/>
    <mergeCell ref="A1:E1"/>
    <mergeCell ref="A10:E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07FCA-C03B-4F5D-896E-3F15426DAAA2}">
  <sheetPr>
    <tabColor theme="5" tint="0.79998168889431442"/>
  </sheetPr>
  <dimension ref="A1:H57"/>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54" t="s">
        <v>161</v>
      </c>
      <c r="F2" s="14"/>
      <c r="G2" s="55" t="s">
        <v>48</v>
      </c>
    </row>
    <row r="3" spans="1:8" ht="7.35" customHeight="1" x14ac:dyDescent="0.25">
      <c r="E3" s="61"/>
      <c r="F3" s="14"/>
      <c r="G3" s="61"/>
    </row>
    <row r="4" spans="1:8" ht="15.75" x14ac:dyDescent="0.25">
      <c r="A4" s="58" t="s">
        <v>11</v>
      </c>
      <c r="B4" s="11"/>
      <c r="C4" s="11"/>
      <c r="D4" s="11"/>
      <c r="E4" s="11"/>
      <c r="F4" s="11"/>
      <c r="G4" s="11"/>
    </row>
    <row r="5" spans="1:8" x14ac:dyDescent="0.25">
      <c r="A5" t="s">
        <v>73</v>
      </c>
      <c r="E5" s="3">
        <f>Saisies!B8*Saisies!B21</f>
        <v>2421.1</v>
      </c>
      <c r="F5" s="3"/>
      <c r="G5" s="3">
        <f>IF(Saisies!C8="",Saisies!B8,Saisies!C8)*IF(Saisies!C21="",Saisies!B21,Saisies!C21)</f>
        <v>2421.1</v>
      </c>
      <c r="H5" t="str">
        <f>IF(G5="","",IF(OR(G5&gt;E5*(1+0.5),G5&lt;E5*(1-0.5)),"La valeur saisie diffère grandement des coûts utilisés dans le modèle. Assurez-vous qu'il ne s'agit pas d'une erreur de saisie",""))</f>
        <v/>
      </c>
    </row>
    <row r="6" spans="1:8" x14ac:dyDescent="0.25">
      <c r="A6" t="s">
        <v>10</v>
      </c>
      <c r="E6" s="3">
        <f>IF(ASRA_Calculs!B2&gt;ASRA_Calculs!C2,(ASRA_Calculs!C2-ASRA_Calculs!B2)*ASRA_Calculs!D2,0)</f>
        <v>0</v>
      </c>
      <c r="F6" s="3"/>
      <c r="G6" s="3">
        <f>E6</f>
        <v>0</v>
      </c>
      <c r="H6" t="str">
        <f t="shared" ref="H6:H9" si="0">IF(G6="","",IF(OR(G6&gt;E6*(1+0.5),G6&lt;E6*(1-0.5)),"La valeur saisie diffère grandement des coûts utilisés dans le modèle. Assurez-vous qu'il ne s'agit pas d'une erreur de saisie",""))</f>
        <v/>
      </c>
    </row>
    <row r="7" spans="1:8" x14ac:dyDescent="0.25">
      <c r="A7" t="s">
        <v>37</v>
      </c>
      <c r="E7" s="3">
        <v>4.21</v>
      </c>
      <c r="F7" s="3"/>
      <c r="G7" s="5"/>
      <c r="H7" t="str">
        <f t="shared" si="0"/>
        <v/>
      </c>
    </row>
    <row r="8" spans="1:8" outlineLevel="1" x14ac:dyDescent="0.25">
      <c r="A8" s="33" t="s">
        <v>168</v>
      </c>
      <c r="E8" s="3">
        <f>(E5-E16)*0.042</f>
        <v>89.239500000000007</v>
      </c>
      <c r="F8" s="3"/>
      <c r="G8" s="3">
        <f>(G5-G16)*0.042</f>
        <v>101.6862</v>
      </c>
      <c r="H8" t="str">
        <f t="shared" si="0"/>
        <v/>
      </c>
    </row>
    <row r="9" spans="1:8" outlineLevel="1" x14ac:dyDescent="0.25">
      <c r="A9" s="33" t="s">
        <v>38</v>
      </c>
      <c r="E9" s="3">
        <v>0</v>
      </c>
      <c r="F9" s="3"/>
      <c r="G9" s="5"/>
      <c r="H9" t="str">
        <f t="shared" si="0"/>
        <v/>
      </c>
    </row>
    <row r="10" spans="1:8" x14ac:dyDescent="0.25">
      <c r="A10" s="1" t="s">
        <v>38</v>
      </c>
      <c r="E10" s="4">
        <f>SUM(E8:E9)</f>
        <v>89.239500000000007</v>
      </c>
      <c r="F10" s="3"/>
      <c r="G10" s="45">
        <f>SUM(G8:G9)</f>
        <v>101.6862</v>
      </c>
    </row>
    <row r="11" spans="1:8" x14ac:dyDescent="0.25">
      <c r="E11" s="3"/>
      <c r="F11" s="3"/>
      <c r="G11" s="3"/>
    </row>
    <row r="12" spans="1:8" x14ac:dyDescent="0.25">
      <c r="A12" s="1" t="s">
        <v>12</v>
      </c>
      <c r="E12" s="6">
        <f>SUM(E5:E10)</f>
        <v>2603.7890000000002</v>
      </c>
      <c r="F12" s="4"/>
      <c r="G12" s="6">
        <f>SUM(G5:G10)</f>
        <v>2624.4724000000001</v>
      </c>
    </row>
    <row r="13" spans="1:8" x14ac:dyDescent="0.25">
      <c r="E13" s="3"/>
      <c r="F13" s="3"/>
      <c r="G13" s="3"/>
    </row>
    <row r="14" spans="1:8" x14ac:dyDescent="0.25">
      <c r="E14" s="3"/>
      <c r="F14" s="3"/>
      <c r="G14" s="3"/>
    </row>
    <row r="15" spans="1:8" ht="15.75" x14ac:dyDescent="0.25">
      <c r="A15" s="58" t="s">
        <v>13</v>
      </c>
      <c r="B15" s="11"/>
      <c r="C15" s="11"/>
      <c r="D15" s="11"/>
      <c r="E15" s="57"/>
      <c r="F15" s="57"/>
      <c r="G15" s="57"/>
    </row>
    <row r="16" spans="1:8" outlineLevel="1" x14ac:dyDescent="0.25">
      <c r="A16" s="33" t="s">
        <v>107</v>
      </c>
      <c r="E16" s="3">
        <v>296.35000000000002</v>
      </c>
      <c r="F16" s="3"/>
      <c r="G16" s="56"/>
      <c r="H16" t="str">
        <f t="shared" ref="H16:H36" si="1">IF(G16="","",IF(OR(G16&gt;E16*(1+0.5),G16&lt;E16*(1-0.5)),"La valeur saisie diffère grandement des coûts utilisés dans le modèle. Assurez-vous qu'il ne s'agit pas d'une erreur de saisie",""))</f>
        <v/>
      </c>
    </row>
    <row r="17" spans="1:8" outlineLevel="1" x14ac:dyDescent="0.25">
      <c r="A17" s="33" t="s">
        <v>14</v>
      </c>
      <c r="E17" s="3">
        <v>399.03</v>
      </c>
      <c r="F17" s="3"/>
      <c r="G17" s="5"/>
      <c r="H17" t="str">
        <f t="shared" si="1"/>
        <v/>
      </c>
    </row>
    <row r="18" spans="1:8" outlineLevel="1" x14ac:dyDescent="0.25">
      <c r="A18" s="33" t="s">
        <v>15</v>
      </c>
      <c r="E18" s="3">
        <v>7.31</v>
      </c>
      <c r="F18" s="3"/>
      <c r="G18" s="5"/>
      <c r="H18" t="str">
        <f t="shared" si="1"/>
        <v/>
      </c>
    </row>
    <row r="19" spans="1:8" outlineLevel="1" x14ac:dyDescent="0.25">
      <c r="A19" s="33" t="s">
        <v>16</v>
      </c>
      <c r="E19" s="3">
        <v>60.69</v>
      </c>
      <c r="F19" s="3"/>
      <c r="G19" s="5"/>
      <c r="H19" t="str">
        <f t="shared" si="1"/>
        <v/>
      </c>
    </row>
    <row r="20" spans="1:8" x14ac:dyDescent="0.25">
      <c r="A20" s="1" t="s">
        <v>149</v>
      </c>
      <c r="E20" s="4">
        <f>SUM(E16:E19)</f>
        <v>763.37999999999988</v>
      </c>
      <c r="F20" s="3"/>
      <c r="G20" s="44">
        <f>SUM(G16:G19)</f>
        <v>0</v>
      </c>
    </row>
    <row r="21" spans="1:8" outlineLevel="1" x14ac:dyDescent="0.25">
      <c r="A21" s="33" t="s">
        <v>17</v>
      </c>
      <c r="E21" s="3">
        <v>7.12</v>
      </c>
      <c r="F21" s="3"/>
      <c r="G21" s="5"/>
      <c r="H21" t="str">
        <f t="shared" si="1"/>
        <v/>
      </c>
    </row>
    <row r="22" spans="1:8" outlineLevel="1" x14ac:dyDescent="0.25">
      <c r="A22" s="33" t="s">
        <v>18</v>
      </c>
      <c r="E22" s="3">
        <v>125.6</v>
      </c>
      <c r="F22" s="3"/>
      <c r="G22" s="5"/>
      <c r="H22" t="str">
        <f t="shared" si="1"/>
        <v/>
      </c>
    </row>
    <row r="23" spans="1:8" outlineLevel="1" x14ac:dyDescent="0.25">
      <c r="A23" s="33" t="s">
        <v>19</v>
      </c>
      <c r="E23" s="3">
        <v>79.930000000000007</v>
      </c>
      <c r="F23" s="3"/>
      <c r="G23" s="5"/>
      <c r="H23" t="str">
        <f t="shared" si="1"/>
        <v/>
      </c>
    </row>
    <row r="24" spans="1:8" outlineLevel="1" x14ac:dyDescent="0.25">
      <c r="A24" s="33" t="s">
        <v>20</v>
      </c>
      <c r="E24" s="3">
        <v>94.32</v>
      </c>
      <c r="F24" s="3"/>
      <c r="G24" s="5"/>
      <c r="H24" t="str">
        <f t="shared" si="1"/>
        <v/>
      </c>
    </row>
    <row r="25" spans="1:8" outlineLevel="1" x14ac:dyDescent="0.25">
      <c r="A25" s="33" t="s">
        <v>21</v>
      </c>
      <c r="E25" s="3">
        <v>119.87</v>
      </c>
      <c r="F25" s="3"/>
      <c r="G25" s="5"/>
      <c r="H25" t="str">
        <f t="shared" si="1"/>
        <v/>
      </c>
    </row>
    <row r="26" spans="1:8" outlineLevel="1" x14ac:dyDescent="0.25">
      <c r="A26" s="33" t="s">
        <v>22</v>
      </c>
      <c r="E26" s="3">
        <v>92.68</v>
      </c>
      <c r="F26" s="3"/>
      <c r="G26" s="5"/>
      <c r="H26" t="str">
        <f t="shared" si="1"/>
        <v/>
      </c>
    </row>
    <row r="27" spans="1:8" outlineLevel="1" x14ac:dyDescent="0.25">
      <c r="A27" s="33" t="s">
        <v>23</v>
      </c>
      <c r="D27">
        <f>240.09/7.1</f>
        <v>33.815492957746478</v>
      </c>
      <c r="E27" s="3">
        <f>240.09</f>
        <v>240.09</v>
      </c>
      <c r="F27" s="3"/>
      <c r="G27" s="5"/>
      <c r="H27" t="str">
        <f t="shared" si="1"/>
        <v/>
      </c>
    </row>
    <row r="28" spans="1:8" x14ac:dyDescent="0.25">
      <c r="A28" s="1" t="s">
        <v>152</v>
      </c>
      <c r="E28" s="4">
        <f>SUM(E21:E27)</f>
        <v>759.61</v>
      </c>
      <c r="F28" s="3"/>
      <c r="G28" s="44">
        <f>SUM(G21:G27)</f>
        <v>0</v>
      </c>
    </row>
    <row r="29" spans="1:8" outlineLevel="1" x14ac:dyDescent="0.25">
      <c r="A29" s="33" t="s">
        <v>24</v>
      </c>
      <c r="E29" s="3">
        <v>9.36</v>
      </c>
      <c r="F29" s="3"/>
      <c r="G29" s="5"/>
      <c r="H29" t="str">
        <f t="shared" si="1"/>
        <v/>
      </c>
    </row>
    <row r="30" spans="1:8" outlineLevel="1" x14ac:dyDescent="0.25">
      <c r="A30" s="33" t="s">
        <v>25</v>
      </c>
      <c r="D30">
        <f>19.61/7.1</f>
        <v>2.7619718309859156</v>
      </c>
      <c r="E30" s="3">
        <v>19.61</v>
      </c>
      <c r="F30" s="3"/>
      <c r="G30" s="5"/>
      <c r="H30" t="str">
        <f t="shared" si="1"/>
        <v/>
      </c>
    </row>
    <row r="31" spans="1:8" outlineLevel="1" x14ac:dyDescent="0.25">
      <c r="A31" s="33" t="s">
        <v>26</v>
      </c>
      <c r="E31" s="3">
        <v>9.24</v>
      </c>
      <c r="F31" s="3"/>
      <c r="G31" s="8"/>
      <c r="H31" t="str">
        <f t="shared" si="1"/>
        <v/>
      </c>
    </row>
    <row r="32" spans="1:8" x14ac:dyDescent="0.25">
      <c r="A32" s="1" t="s">
        <v>153</v>
      </c>
      <c r="E32" s="4">
        <f>SUM(E29:E31)</f>
        <v>38.21</v>
      </c>
      <c r="F32" s="3"/>
      <c r="G32" s="46">
        <f>SUM(G29:G31)</f>
        <v>0</v>
      </c>
    </row>
    <row r="33" spans="1:8" x14ac:dyDescent="0.25">
      <c r="B33" s="1" t="s">
        <v>27</v>
      </c>
      <c r="E33" s="6">
        <f>E20+E28+E32</f>
        <v>1561.1999999999998</v>
      </c>
      <c r="F33" s="4"/>
      <c r="G33" s="6">
        <f>G20+G28+G32</f>
        <v>0</v>
      </c>
    </row>
    <row r="34" spans="1:8" x14ac:dyDescent="0.25">
      <c r="E34" s="3"/>
      <c r="F34" s="3"/>
      <c r="G34" s="3"/>
      <c r="H34" t="str">
        <f t="shared" si="1"/>
        <v/>
      </c>
    </row>
    <row r="35" spans="1:8" x14ac:dyDescent="0.25">
      <c r="A35" t="s">
        <v>28</v>
      </c>
      <c r="E35" s="3">
        <v>0</v>
      </c>
      <c r="F35" s="3"/>
      <c r="G35" s="5"/>
      <c r="H35" t="str">
        <f t="shared" si="1"/>
        <v/>
      </c>
    </row>
    <row r="36" spans="1:8" x14ac:dyDescent="0.25">
      <c r="A36" t="s">
        <v>29</v>
      </c>
      <c r="E36" s="3">
        <v>8.44</v>
      </c>
      <c r="F36" s="3"/>
      <c r="G36" s="5"/>
      <c r="H36" t="str">
        <f t="shared" si="1"/>
        <v/>
      </c>
    </row>
    <row r="37" spans="1:8" x14ac:dyDescent="0.25">
      <c r="E37" s="3"/>
      <c r="F37" s="3"/>
      <c r="G37" s="3"/>
    </row>
    <row r="38" spans="1:8" ht="27.6" customHeight="1" x14ac:dyDescent="0.25">
      <c r="A38" s="97" t="s">
        <v>64</v>
      </c>
      <c r="B38" s="97"/>
      <c r="C38" s="97"/>
      <c r="D38" s="29"/>
      <c r="E38" s="6">
        <f>E12-(E33+SUM(E35:E36))</f>
        <v>1034.1490000000003</v>
      </c>
      <c r="F38" s="4"/>
      <c r="G38" s="6">
        <f>G12-(G33+SUM(G35:G36))</f>
        <v>2624.4724000000001</v>
      </c>
    </row>
    <row r="39" spans="1:8" x14ac:dyDescent="0.25">
      <c r="E39" s="3"/>
      <c r="F39" s="3"/>
      <c r="G39" s="3"/>
    </row>
    <row r="40" spans="1:8" ht="15.75" x14ac:dyDescent="0.25">
      <c r="A40" s="58" t="s">
        <v>30</v>
      </c>
      <c r="B40" s="59"/>
      <c r="C40" s="59"/>
      <c r="D40" s="59"/>
      <c r="E40" s="60"/>
      <c r="F40" s="60"/>
      <c r="G40" s="60"/>
    </row>
    <row r="41" spans="1:8" x14ac:dyDescent="0.25">
      <c r="A41" t="s">
        <v>31</v>
      </c>
      <c r="E41" s="3">
        <v>29.65</v>
      </c>
      <c r="F41" s="3"/>
      <c r="G41" s="56"/>
      <c r="H41" t="str">
        <f t="shared" ref="H41:H45" si="2">IF(G41="","",IF(OR(G41&gt;E41*(1+0.5),G41&lt;E41*(1-0.5)),"La valeur saisie diffère grandement des coûts utilisés dans le modèle. Assurez-vous qu'il ne s'agit pas d'une erreur de saisie",""))</f>
        <v/>
      </c>
    </row>
    <row r="42" spans="1:8" x14ac:dyDescent="0.25">
      <c r="A42" t="s">
        <v>33</v>
      </c>
      <c r="E42" s="3">
        <v>51.08</v>
      </c>
      <c r="F42" s="3"/>
      <c r="G42" s="5"/>
      <c r="H42" t="str">
        <f t="shared" si="2"/>
        <v/>
      </c>
    </row>
    <row r="43" spans="1:8" x14ac:dyDescent="0.25">
      <c r="A43" t="s">
        <v>34</v>
      </c>
      <c r="E43" s="3">
        <v>33.29</v>
      </c>
      <c r="F43" s="3"/>
      <c r="G43" s="5"/>
      <c r="H43" t="str">
        <f t="shared" si="2"/>
        <v/>
      </c>
    </row>
    <row r="44" spans="1:8" x14ac:dyDescent="0.25">
      <c r="A44" t="s">
        <v>35</v>
      </c>
      <c r="E44" s="3">
        <v>86.13</v>
      </c>
      <c r="F44" s="3"/>
      <c r="G44" s="5"/>
      <c r="H44" t="str">
        <f t="shared" si="2"/>
        <v/>
      </c>
    </row>
    <row r="45" spans="1:8" x14ac:dyDescent="0.25">
      <c r="A45" t="s">
        <v>36</v>
      </c>
      <c r="E45" s="3">
        <v>47.46</v>
      </c>
      <c r="F45" s="3"/>
      <c r="G45" s="8"/>
      <c r="H45" t="str">
        <f t="shared" si="2"/>
        <v/>
      </c>
    </row>
    <row r="46" spans="1:8" x14ac:dyDescent="0.25">
      <c r="B46" s="1" t="s">
        <v>27</v>
      </c>
      <c r="E46" s="6">
        <f>SUM(E41:E45)</f>
        <v>247.60999999999999</v>
      </c>
      <c r="F46" s="4"/>
      <c r="G46" s="6">
        <f>SUM(G41:G45)</f>
        <v>0</v>
      </c>
    </row>
    <row r="47" spans="1:8" x14ac:dyDescent="0.25">
      <c r="E47" s="3"/>
      <c r="F47" s="3"/>
      <c r="G47" s="3"/>
    </row>
    <row r="48" spans="1:8" ht="28.35" customHeight="1" x14ac:dyDescent="0.25">
      <c r="A48" s="97" t="s">
        <v>63</v>
      </c>
      <c r="B48" s="97"/>
      <c r="C48" s="97"/>
      <c r="D48" s="29"/>
      <c r="E48" s="6">
        <f>E38-E46</f>
        <v>786.53900000000033</v>
      </c>
      <c r="F48" s="4"/>
      <c r="G48" s="6">
        <f>G38-G46</f>
        <v>2624.4724000000001</v>
      </c>
    </row>
    <row r="49" spans="1:8" x14ac:dyDescent="0.25">
      <c r="E49" s="3"/>
      <c r="F49" s="3"/>
      <c r="G49" s="3"/>
    </row>
    <row r="50" spans="1:8" ht="15.75" x14ac:dyDescent="0.25">
      <c r="A50" s="58" t="s">
        <v>173</v>
      </c>
      <c r="B50" s="11"/>
      <c r="C50" s="11"/>
      <c r="D50" s="11"/>
      <c r="E50" s="57"/>
      <c r="F50" s="57"/>
      <c r="G50" s="57"/>
    </row>
    <row r="51" spans="1:8" x14ac:dyDescent="0.25">
      <c r="A51" t="s">
        <v>40</v>
      </c>
      <c r="E51" s="3">
        <v>257.36</v>
      </c>
      <c r="F51" s="3"/>
      <c r="G51" s="56"/>
      <c r="H51" t="str">
        <f t="shared" ref="H51:H53" si="3">IF(G51="","",IF(OR(G51&gt;E51*(1+0.5),G51&lt;E51*(1-0.5)),"La valeur saisie diffère grandement des coûts utilisés dans le modèle. Assurez-vous qu'il ne s'agit pas d'une erreur de saisie",""))</f>
        <v/>
      </c>
    </row>
    <row r="52" spans="1:8" x14ac:dyDescent="0.25">
      <c r="A52" t="s">
        <v>41</v>
      </c>
      <c r="E52" s="3">
        <v>171.29</v>
      </c>
      <c r="F52" s="3"/>
      <c r="G52" s="5"/>
      <c r="H52" t="str">
        <f t="shared" si="3"/>
        <v/>
      </c>
    </row>
    <row r="53" spans="1:8" x14ac:dyDescent="0.25">
      <c r="A53" t="s">
        <v>42</v>
      </c>
      <c r="E53" s="3">
        <v>149.86000000000001</v>
      </c>
      <c r="F53" s="3"/>
      <c r="G53" s="5"/>
      <c r="H53" t="str">
        <f t="shared" si="3"/>
        <v/>
      </c>
    </row>
    <row r="54" spans="1:8" x14ac:dyDescent="0.25">
      <c r="B54" s="1" t="s">
        <v>27</v>
      </c>
      <c r="E54" s="4">
        <f>SUM(E51:E53)</f>
        <v>578.51</v>
      </c>
      <c r="F54" s="4"/>
      <c r="G54" s="4">
        <f>SUM(G51:G53)</f>
        <v>0</v>
      </c>
    </row>
    <row r="55" spans="1:8" x14ac:dyDescent="0.25">
      <c r="E55" s="3"/>
      <c r="F55" s="3"/>
      <c r="G55" s="3"/>
    </row>
    <row r="56" spans="1:8" ht="48" customHeight="1" thickBot="1" x14ac:dyDescent="0.3">
      <c r="A56" s="97" t="s">
        <v>65</v>
      </c>
      <c r="B56" s="97"/>
      <c r="C56" s="97"/>
      <c r="D56" s="29"/>
      <c r="E56" s="9">
        <f>E48-E54</f>
        <v>208.02900000000034</v>
      </c>
      <c r="F56" s="4"/>
      <c r="G56" s="9">
        <f>G48-G54</f>
        <v>2624.4724000000001</v>
      </c>
    </row>
    <row r="57" spans="1:8" ht="15.75" thickTop="1" x14ac:dyDescent="0.25"/>
  </sheetData>
  <dataConsolidate/>
  <mergeCells count="3">
    <mergeCell ref="A38:C38"/>
    <mergeCell ref="A48:C48"/>
    <mergeCell ref="A56:C56"/>
  </mergeCells>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B73F05-F423-4741-B36F-24CC537B879C}">
  <sheetPr>
    <tabColor theme="5" tint="0.79998168889431442"/>
  </sheetPr>
  <dimension ref="A1:H56"/>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54" t="s">
        <v>161</v>
      </c>
      <c r="F2" s="14"/>
      <c r="G2" s="55" t="s">
        <v>48</v>
      </c>
    </row>
    <row r="3" spans="1:8" ht="15.75" x14ac:dyDescent="0.25">
      <c r="A3" s="58" t="s">
        <v>11</v>
      </c>
      <c r="B3" s="11"/>
      <c r="C3" s="11"/>
      <c r="D3" s="11"/>
      <c r="E3" s="11"/>
      <c r="F3" s="11"/>
      <c r="G3" s="11"/>
    </row>
    <row r="4" spans="1:8" x14ac:dyDescent="0.25">
      <c r="A4" t="s">
        <v>73</v>
      </c>
      <c r="E4" s="3">
        <f>Saisies!B9*Saisies!B22</f>
        <v>1566.3</v>
      </c>
      <c r="F4" s="3"/>
      <c r="G4" s="3">
        <f>IF(Saisies!C9="",Saisies!B9,Saisies!C9)*IF(Saisies!C22="",Saisies!B22,Saisies!C22)</f>
        <v>1566.3</v>
      </c>
      <c r="H4" t="str">
        <f>IF(G4="","",IF(OR(G4&gt;E4*(1+0.5),G4&lt;E4*(1-0.5)),"La valeur saisie diffère grandement des coûts utilisés dans le modèle. Assurez-vous qu'il ne s'agit pas d'une erreur de saisie",""))</f>
        <v/>
      </c>
    </row>
    <row r="5" spans="1:8" x14ac:dyDescent="0.25">
      <c r="A5" t="s">
        <v>10</v>
      </c>
      <c r="E5" s="3">
        <f>IF(ASRA_Calculs!$B$3&gt;ASRA_Calculs!$C$3,(ASRA_Calculs!$C$3-ASRA_Calculs!$B$3)*ASRA_Calculs!$D$3,0)</f>
        <v>0</v>
      </c>
      <c r="F5" s="3"/>
      <c r="G5" s="3">
        <f>IF(ASRA_Calculs!$B$3&gt;ASRA_Calculs!$C$3,(ASRA_Calculs!$C$3-ASRA_Calculs!$B$3)*ASRA_Calculs!$D$3,0)</f>
        <v>0</v>
      </c>
      <c r="H5" t="str">
        <f t="shared" ref="H5:H6" si="0">IF(G5="","",IF(OR(G5&gt;E5*(1+0.5),G5&lt;E5*(1-0.5)),"La valeur saisie diffère grandement des coûts utilisés dans le modèle. Assurez-vous qu'il ne s'agit pas d'une erreur de saisie",""))</f>
        <v/>
      </c>
    </row>
    <row r="6" spans="1:8" x14ac:dyDescent="0.25">
      <c r="A6" t="s">
        <v>37</v>
      </c>
      <c r="E6" s="3">
        <v>0</v>
      </c>
      <c r="F6" s="3"/>
      <c r="G6" s="5"/>
      <c r="H6" t="str">
        <f t="shared" si="0"/>
        <v/>
      </c>
    </row>
    <row r="7" spans="1:8" outlineLevel="1" x14ac:dyDescent="0.25">
      <c r="A7" s="33" t="s">
        <v>168</v>
      </c>
      <c r="E7" s="3">
        <f>(E4-E15)*0.01</f>
        <v>13.918099999999999</v>
      </c>
      <c r="F7" s="3"/>
      <c r="G7" s="3">
        <f>(G4-G15)*0.01</f>
        <v>15.663</v>
      </c>
    </row>
    <row r="8" spans="1:8" outlineLevel="1" x14ac:dyDescent="0.25">
      <c r="A8" s="33" t="s">
        <v>38</v>
      </c>
      <c r="E8" s="3">
        <v>39.78</v>
      </c>
      <c r="F8" s="3"/>
      <c r="G8" s="5"/>
    </row>
    <row r="9" spans="1:8" x14ac:dyDescent="0.25">
      <c r="A9" s="1" t="s">
        <v>38</v>
      </c>
      <c r="E9" s="4">
        <f>SUM(E7:E8)</f>
        <v>53.698099999999997</v>
      </c>
      <c r="F9" s="3"/>
      <c r="G9" s="45">
        <f>SUM(G7:G8)</f>
        <v>15.663</v>
      </c>
    </row>
    <row r="10" spans="1:8" x14ac:dyDescent="0.25">
      <c r="E10" s="3"/>
      <c r="F10" s="3"/>
      <c r="G10" s="3"/>
    </row>
    <row r="11" spans="1:8" x14ac:dyDescent="0.25">
      <c r="A11" s="1" t="s">
        <v>12</v>
      </c>
      <c r="E11" s="6">
        <f>SUM(E4:E9)</f>
        <v>1673.6962000000001</v>
      </c>
      <c r="F11" s="4"/>
      <c r="G11" s="6">
        <f>SUM(G4:G9)</f>
        <v>1597.626</v>
      </c>
    </row>
    <row r="12" spans="1:8" x14ac:dyDescent="0.25">
      <c r="E12" s="3"/>
      <c r="F12" s="3"/>
      <c r="G12" s="3"/>
    </row>
    <row r="13" spans="1:8" x14ac:dyDescent="0.25">
      <c r="E13" s="3"/>
      <c r="F13" s="3"/>
      <c r="G13" s="3"/>
    </row>
    <row r="14" spans="1:8" ht="15.75" x14ac:dyDescent="0.25">
      <c r="A14" s="58" t="s">
        <v>13</v>
      </c>
      <c r="B14" s="11"/>
      <c r="C14" s="11"/>
      <c r="D14" s="11"/>
      <c r="E14" s="11"/>
      <c r="F14" s="11"/>
      <c r="G14" s="11"/>
    </row>
    <row r="15" spans="1:8" outlineLevel="1" x14ac:dyDescent="0.25">
      <c r="A15" s="33" t="s">
        <v>107</v>
      </c>
      <c r="E15" s="3">
        <v>174.49</v>
      </c>
      <c r="F15" s="3"/>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268.87</v>
      </c>
      <c r="F16" s="3"/>
      <c r="G16" s="5"/>
      <c r="H16" t="str">
        <f t="shared" si="1"/>
        <v/>
      </c>
    </row>
    <row r="17" spans="1:8" outlineLevel="1" x14ac:dyDescent="0.25">
      <c r="A17" s="33" t="s">
        <v>15</v>
      </c>
      <c r="E17" s="3">
        <v>8.99</v>
      </c>
      <c r="F17" s="3"/>
      <c r="G17" s="5"/>
      <c r="H17" t="str">
        <f t="shared" si="1"/>
        <v/>
      </c>
    </row>
    <row r="18" spans="1:8" outlineLevel="1" x14ac:dyDescent="0.25">
      <c r="A18" s="33" t="s">
        <v>16</v>
      </c>
      <c r="E18" s="3">
        <v>70.78</v>
      </c>
      <c r="F18" s="3"/>
      <c r="G18" s="5"/>
      <c r="H18" t="str">
        <f t="shared" si="1"/>
        <v/>
      </c>
    </row>
    <row r="19" spans="1:8" x14ac:dyDescent="0.25">
      <c r="A19" s="1" t="s">
        <v>149</v>
      </c>
      <c r="E19" s="4">
        <f>SUM(E15:E18)</f>
        <v>523.13</v>
      </c>
      <c r="F19" s="3"/>
      <c r="G19" s="44">
        <f>SUM(G15:G18)</f>
        <v>0</v>
      </c>
    </row>
    <row r="20" spans="1:8" outlineLevel="1" x14ac:dyDescent="0.25">
      <c r="A20" s="33" t="s">
        <v>17</v>
      </c>
      <c r="E20" s="3">
        <v>25.46</v>
      </c>
      <c r="F20" s="3"/>
      <c r="G20" s="5"/>
      <c r="H20" t="str">
        <f t="shared" si="1"/>
        <v/>
      </c>
    </row>
    <row r="21" spans="1:8" outlineLevel="1" x14ac:dyDescent="0.25">
      <c r="A21" s="33" t="s">
        <v>18</v>
      </c>
      <c r="E21" s="3">
        <v>47.58</v>
      </c>
      <c r="F21" s="3"/>
      <c r="G21" s="5"/>
      <c r="H21" t="str">
        <f t="shared" si="1"/>
        <v/>
      </c>
    </row>
    <row r="22" spans="1:8" outlineLevel="1" x14ac:dyDescent="0.25">
      <c r="A22" s="33" t="s">
        <v>19</v>
      </c>
      <c r="E22" s="3">
        <v>20.18</v>
      </c>
      <c r="F22" s="3"/>
      <c r="G22" s="5"/>
      <c r="H22" t="str">
        <f t="shared" si="1"/>
        <v/>
      </c>
    </row>
    <row r="23" spans="1:8" outlineLevel="1" x14ac:dyDescent="0.25">
      <c r="A23" s="33" t="s">
        <v>20</v>
      </c>
      <c r="E23" s="3">
        <v>38.03</v>
      </c>
      <c r="F23" s="3"/>
      <c r="G23" s="5"/>
      <c r="H23" t="str">
        <f t="shared" si="1"/>
        <v/>
      </c>
    </row>
    <row r="24" spans="1:8" outlineLevel="1" x14ac:dyDescent="0.25">
      <c r="A24" s="33" t="s">
        <v>21</v>
      </c>
      <c r="E24" s="3">
        <v>71.81</v>
      </c>
      <c r="F24" s="3"/>
      <c r="G24" s="5"/>
      <c r="H24" t="str">
        <f t="shared" si="1"/>
        <v/>
      </c>
    </row>
    <row r="25" spans="1:8" outlineLevel="1" x14ac:dyDescent="0.25">
      <c r="A25" s="33" t="s">
        <v>22</v>
      </c>
      <c r="E25" s="3">
        <v>62.44</v>
      </c>
      <c r="F25" s="3"/>
      <c r="G25" s="5"/>
      <c r="H25" t="str">
        <f t="shared" si="1"/>
        <v/>
      </c>
    </row>
    <row r="26" spans="1:8" outlineLevel="1" x14ac:dyDescent="0.25">
      <c r="A26" s="33" t="s">
        <v>23</v>
      </c>
      <c r="D26">
        <f>30.13/2.3</f>
        <v>13.100000000000001</v>
      </c>
      <c r="E26" s="3">
        <v>30.13</v>
      </c>
      <c r="F26" s="3"/>
      <c r="G26" s="5"/>
      <c r="H26" t="str">
        <f t="shared" si="1"/>
        <v/>
      </c>
    </row>
    <row r="27" spans="1:8" x14ac:dyDescent="0.25">
      <c r="A27" s="1" t="s">
        <v>152</v>
      </c>
      <c r="E27" s="4">
        <f>SUM(E20:E26)</f>
        <v>295.63</v>
      </c>
      <c r="F27" s="3"/>
      <c r="G27" s="44">
        <f>SUM(G20:G26)</f>
        <v>0</v>
      </c>
    </row>
    <row r="28" spans="1:8" outlineLevel="1" x14ac:dyDescent="0.25">
      <c r="A28" s="33" t="s">
        <v>24</v>
      </c>
      <c r="E28" s="3">
        <v>4.53</v>
      </c>
      <c r="F28" s="3"/>
      <c r="G28" s="5"/>
      <c r="H28" t="str">
        <f t="shared" si="1"/>
        <v/>
      </c>
    </row>
    <row r="29" spans="1:8" outlineLevel="1" x14ac:dyDescent="0.25">
      <c r="A29" s="33" t="s">
        <v>25</v>
      </c>
      <c r="D29">
        <f>33.51/2.3</f>
        <v>14.569565217391304</v>
      </c>
      <c r="E29" s="3">
        <v>33.51</v>
      </c>
      <c r="F29" s="3"/>
      <c r="G29" s="5"/>
      <c r="H29" t="str">
        <f t="shared" si="1"/>
        <v/>
      </c>
    </row>
    <row r="30" spans="1:8" outlineLevel="1" x14ac:dyDescent="0.25">
      <c r="A30" s="33" t="s">
        <v>26</v>
      </c>
      <c r="E30" s="3">
        <v>18.18</v>
      </c>
      <c r="F30" s="3"/>
      <c r="G30" s="8"/>
      <c r="H30" t="str">
        <f t="shared" si="1"/>
        <v/>
      </c>
    </row>
    <row r="31" spans="1:8" x14ac:dyDescent="0.25">
      <c r="A31" s="1" t="s">
        <v>153</v>
      </c>
      <c r="E31" s="4">
        <f>SUM(E28:E30)</f>
        <v>56.22</v>
      </c>
      <c r="F31" s="3"/>
      <c r="G31" s="46">
        <f>SUM(G28:G30)</f>
        <v>0</v>
      </c>
    </row>
    <row r="32" spans="1:8" x14ac:dyDescent="0.25">
      <c r="B32" s="1" t="s">
        <v>27</v>
      </c>
      <c r="E32" s="6">
        <f>E19+E27+E31</f>
        <v>874.98</v>
      </c>
      <c r="F32" s="4"/>
      <c r="G32" s="6">
        <f>G19+G27+G31</f>
        <v>0</v>
      </c>
    </row>
    <row r="33" spans="1:8" x14ac:dyDescent="0.25">
      <c r="E33" s="3"/>
      <c r="F33" s="3"/>
      <c r="G33" s="3"/>
    </row>
    <row r="34" spans="1:8" x14ac:dyDescent="0.25">
      <c r="A34" t="s">
        <v>28</v>
      </c>
      <c r="E34" s="3">
        <v>10.57</v>
      </c>
      <c r="F34" s="3"/>
      <c r="G34" s="5"/>
      <c r="H34" t="str">
        <f t="shared" si="1"/>
        <v/>
      </c>
    </row>
    <row r="35" spans="1:8" x14ac:dyDescent="0.25">
      <c r="A35" t="s">
        <v>29</v>
      </c>
      <c r="E35" s="3">
        <v>6.78</v>
      </c>
      <c r="F35" s="3"/>
      <c r="G35" s="5"/>
      <c r="H35" t="str">
        <f t="shared" si="1"/>
        <v/>
      </c>
    </row>
    <row r="36" spans="1:8" x14ac:dyDescent="0.25">
      <c r="E36" s="3"/>
      <c r="F36" s="3"/>
      <c r="G36" s="3"/>
    </row>
    <row r="37" spans="1:8" ht="27.6" customHeight="1" x14ac:dyDescent="0.25">
      <c r="A37" s="97" t="s">
        <v>64</v>
      </c>
      <c r="B37" s="97"/>
      <c r="C37" s="97"/>
      <c r="D37" s="29"/>
      <c r="E37" s="6">
        <f>E11-(E32+SUM(E34:E35))</f>
        <v>781.36620000000005</v>
      </c>
      <c r="F37" s="4"/>
      <c r="G37" s="6">
        <f>G11-(G32+SUM(G34:G35))</f>
        <v>1597.626</v>
      </c>
    </row>
    <row r="38" spans="1:8" x14ac:dyDescent="0.25">
      <c r="E38" s="3"/>
      <c r="F38" s="3"/>
      <c r="G38" s="3"/>
    </row>
    <row r="39" spans="1:8" ht="15.75" x14ac:dyDescent="0.25">
      <c r="A39" s="58" t="s">
        <v>30</v>
      </c>
      <c r="B39" s="11"/>
      <c r="C39" s="11"/>
      <c r="D39" s="11"/>
      <c r="E39" s="11"/>
      <c r="F39" s="11"/>
      <c r="G39" s="11"/>
    </row>
    <row r="40" spans="1:8" x14ac:dyDescent="0.25">
      <c r="A40" t="s">
        <v>31</v>
      </c>
      <c r="E40" s="3">
        <v>8.7100000000000009</v>
      </c>
      <c r="F40" s="3"/>
      <c r="G40" s="5"/>
      <c r="H40" t="str">
        <f t="shared" ref="H40:H44" si="2">IF(G40="","",IF(OR(G40&gt;E40*(1+0.5),G40&lt;E40*(1-0.5)),"La valeur saisie diffère grandement des coûts utilisés dans le modèle. Assurez-vous qu'il ne s'agit pas d'une erreur de saisie",""))</f>
        <v/>
      </c>
    </row>
    <row r="41" spans="1:8" x14ac:dyDescent="0.25">
      <c r="A41" t="s">
        <v>33</v>
      </c>
      <c r="E41" s="3">
        <v>18.079999999999998</v>
      </c>
      <c r="F41" s="3"/>
      <c r="G41" s="5"/>
      <c r="H41" t="str">
        <f t="shared" si="2"/>
        <v/>
      </c>
    </row>
    <row r="42" spans="1:8" x14ac:dyDescent="0.25">
      <c r="A42" t="s">
        <v>34</v>
      </c>
      <c r="E42" s="3">
        <v>10.47</v>
      </c>
      <c r="F42" s="3"/>
      <c r="G42" s="5"/>
      <c r="H42" t="str">
        <f t="shared" si="2"/>
        <v/>
      </c>
    </row>
    <row r="43" spans="1:8" x14ac:dyDescent="0.25">
      <c r="A43" t="s">
        <v>35</v>
      </c>
      <c r="E43" s="3">
        <v>50.3</v>
      </c>
      <c r="F43" s="3"/>
      <c r="G43" s="5"/>
      <c r="H43" t="str">
        <f t="shared" si="2"/>
        <v/>
      </c>
    </row>
    <row r="44" spans="1:8" x14ac:dyDescent="0.25">
      <c r="A44" t="s">
        <v>36</v>
      </c>
      <c r="E44" s="3">
        <v>30.74</v>
      </c>
      <c r="F44" s="3"/>
      <c r="G44" s="8"/>
      <c r="H44" t="str">
        <f t="shared" si="2"/>
        <v/>
      </c>
    </row>
    <row r="45" spans="1:8" x14ac:dyDescent="0.25">
      <c r="B45" s="1" t="s">
        <v>27</v>
      </c>
      <c r="E45" s="6">
        <f>SUM(E40:E44)</f>
        <v>118.3</v>
      </c>
      <c r="F45" s="4"/>
      <c r="G45" s="6">
        <f>SUM(G40:G44)</f>
        <v>0</v>
      </c>
    </row>
    <row r="46" spans="1:8" x14ac:dyDescent="0.25">
      <c r="E46" s="3"/>
      <c r="F46" s="3"/>
      <c r="G46" s="3"/>
    </row>
    <row r="47" spans="1:8" ht="28.35" customHeight="1" x14ac:dyDescent="0.25">
      <c r="A47" s="97" t="s">
        <v>63</v>
      </c>
      <c r="B47" s="97"/>
      <c r="C47" s="97"/>
      <c r="D47" s="29"/>
      <c r="E47" s="6">
        <f>E37-E45</f>
        <v>663.06620000000009</v>
      </c>
      <c r="F47" s="4"/>
      <c r="G47" s="6">
        <f>G37-G45</f>
        <v>1597.626</v>
      </c>
    </row>
    <row r="48" spans="1:8" x14ac:dyDescent="0.25">
      <c r="E48" s="3"/>
      <c r="F48" s="3"/>
      <c r="G48" s="3"/>
    </row>
    <row r="49" spans="1:8" ht="15.75" x14ac:dyDescent="0.25">
      <c r="A49" s="58" t="s">
        <v>173</v>
      </c>
      <c r="B49" s="11"/>
      <c r="C49" s="11"/>
      <c r="D49" s="11"/>
      <c r="E49" s="11"/>
      <c r="F49" s="11"/>
      <c r="G49" s="11"/>
    </row>
    <row r="50" spans="1:8" x14ac:dyDescent="0.25">
      <c r="A50" t="s">
        <v>40</v>
      </c>
      <c r="E50" s="3">
        <v>134.34</v>
      </c>
      <c r="F50" s="3"/>
      <c r="G50" s="5"/>
      <c r="H50" t="str">
        <f t="shared" ref="H50:H52" si="3">IF(G50="","",IF(OR(G50&gt;E50*(1+0.5),G50&lt;E50*(1-0.5)),"La valeur saisie diffère grandement des coûts utilisés dans le modèle. Assurez-vous qu'il ne s'agit pas d'une erreur de saisie",""))</f>
        <v/>
      </c>
    </row>
    <row r="51" spans="1:8" x14ac:dyDescent="0.25">
      <c r="A51" t="s">
        <v>41</v>
      </c>
      <c r="E51" s="3">
        <v>133.44999999999999</v>
      </c>
      <c r="F51" s="3"/>
      <c r="G51" s="5"/>
      <c r="H51" t="str">
        <f t="shared" si="3"/>
        <v/>
      </c>
    </row>
    <row r="52" spans="1:8" x14ac:dyDescent="0.25">
      <c r="A52" t="s">
        <v>42</v>
      </c>
      <c r="E52" s="3">
        <v>17.05</v>
      </c>
      <c r="F52" s="3"/>
      <c r="G52" s="5"/>
      <c r="H52" t="str">
        <f t="shared" si="3"/>
        <v/>
      </c>
    </row>
    <row r="53" spans="1:8" x14ac:dyDescent="0.25">
      <c r="B53" s="1" t="s">
        <v>27</v>
      </c>
      <c r="E53" s="4">
        <f>SUM(E50:E52)</f>
        <v>284.83999999999997</v>
      </c>
      <c r="F53" s="4"/>
      <c r="G53" s="4">
        <f>SUM(G50:G52)</f>
        <v>0</v>
      </c>
    </row>
    <row r="54" spans="1:8" x14ac:dyDescent="0.25">
      <c r="E54" s="3"/>
      <c r="F54" s="3"/>
      <c r="G54" s="3"/>
    </row>
    <row r="55" spans="1:8" ht="48" customHeight="1" thickBot="1" x14ac:dyDescent="0.3">
      <c r="A55" s="97" t="s">
        <v>65</v>
      </c>
      <c r="B55" s="97"/>
      <c r="C55" s="97"/>
      <c r="D55" s="29"/>
      <c r="E55" s="9">
        <f>E47-E53</f>
        <v>378.22620000000012</v>
      </c>
      <c r="F55" s="4"/>
      <c r="G55" s="9">
        <f>G47-G53</f>
        <v>1597.626</v>
      </c>
    </row>
    <row r="56" spans="1:8" ht="15.75" thickTop="1" x14ac:dyDescent="0.25"/>
  </sheetData>
  <dataConsolidate/>
  <mergeCells count="3">
    <mergeCell ref="A37:C37"/>
    <mergeCell ref="A47:C47"/>
    <mergeCell ref="A55:C55"/>
  </mergeCells>
  <pageMargins left="0.7" right="0.7" top="0.75" bottom="0.75" header="0.3" footer="0.3"/>
  <pageSetup orientation="portrait"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3B1D-66C1-46F9-9645-3128E6CBE909}">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66" t="s">
        <v>161</v>
      </c>
      <c r="F2" s="14"/>
      <c r="G2" s="55" t="s">
        <v>48</v>
      </c>
    </row>
    <row r="3" spans="1:8" ht="15.75" x14ac:dyDescent="0.25">
      <c r="A3" s="58" t="s">
        <v>11</v>
      </c>
      <c r="B3" s="59"/>
      <c r="C3" s="59"/>
      <c r="D3" s="59"/>
      <c r="E3" s="59"/>
      <c r="F3" s="59"/>
      <c r="G3" s="59"/>
    </row>
    <row r="4" spans="1:8" x14ac:dyDescent="0.25">
      <c r="A4" t="s">
        <v>73</v>
      </c>
      <c r="E4" s="3">
        <f>Saisies!B10*Saisies!B23</f>
        <v>1566</v>
      </c>
      <c r="F4" s="3"/>
      <c r="G4" s="3">
        <f>IF(Saisies!C10="",Saisies!B10,Saisies!C10)*IF(Saisies!C23="",Saisies!B23,Saisies!C23)</f>
        <v>1566</v>
      </c>
      <c r="H4" t="str">
        <f>IF(G4="","",IF(OR(G4&gt;E4*(1+0.5),G4&lt;E4*(1-0.5)),"La valeur saisie diffère grandement des coûts utilisés dans le modèle. Assurez-vous qu'il ne s'agit pas d'une erreur de saisie",""))</f>
        <v/>
      </c>
    </row>
    <row r="5" spans="1:8" x14ac:dyDescent="0.25">
      <c r="A5" t="s">
        <v>10</v>
      </c>
      <c r="E5" s="3">
        <f>IF(ASRA_Calculs!$B$4&lt;ASRA_Calculs!$C$4,(ASRA_Calculs!$C$4-ASRA_Calculs!$B$4)*ASRA_Calculs!$D$4,0)</f>
        <v>0</v>
      </c>
      <c r="F5" s="3"/>
      <c r="G5" s="3">
        <f>IF(ASRA_Calculs!$B$4&lt;ASRA_Calculs!$C$4,(ASRA_Calculs!$C$4-ASRA_Calculs!$B$4)*ASRA_Calculs!$D$4,0)</f>
        <v>0</v>
      </c>
      <c r="H5" t="str">
        <f t="shared" ref="H5:H8" si="0">IF(G5="","",IF(OR(G5&gt;E5*(1+0.5),G5&lt;E5*(1-0.5)),"La valeur saisie diffère grandement des coûts utilisés dans le modèle. Assurez-vous qu'il ne s'agit pas d'une erreur de saisie",""))</f>
        <v/>
      </c>
    </row>
    <row r="6" spans="1:8" x14ac:dyDescent="0.25">
      <c r="A6" t="s">
        <v>37</v>
      </c>
      <c r="E6" s="3">
        <v>53.32</v>
      </c>
      <c r="F6" s="3"/>
      <c r="G6" s="5"/>
      <c r="H6" t="str">
        <f t="shared" si="0"/>
        <v/>
      </c>
    </row>
    <row r="7" spans="1:8" outlineLevel="1" x14ac:dyDescent="0.25">
      <c r="A7" s="33" t="s">
        <v>168</v>
      </c>
      <c r="E7" s="3">
        <f>(E4-E15)*0.042</f>
        <v>57.70044</v>
      </c>
      <c r="F7" s="3"/>
      <c r="G7" s="3">
        <f>(G4-G15)*0.042</f>
        <v>65.772000000000006</v>
      </c>
      <c r="H7" t="str">
        <f t="shared" si="0"/>
        <v/>
      </c>
    </row>
    <row r="8" spans="1:8" outlineLevel="1" x14ac:dyDescent="0.25">
      <c r="A8" s="33" t="s">
        <v>38</v>
      </c>
      <c r="E8" s="3">
        <v>19.11</v>
      </c>
      <c r="F8" s="3"/>
      <c r="G8" s="5"/>
      <c r="H8" t="str">
        <f t="shared" si="0"/>
        <v/>
      </c>
    </row>
    <row r="9" spans="1:8" x14ac:dyDescent="0.25">
      <c r="A9" s="1" t="s">
        <v>38</v>
      </c>
      <c r="E9" s="4">
        <f>SUM(E7:E8)</f>
        <v>76.81044</v>
      </c>
      <c r="F9" s="3"/>
      <c r="G9" s="45">
        <f>SUM(G7:G8)</f>
        <v>65.772000000000006</v>
      </c>
    </row>
    <row r="10" spans="1:8" x14ac:dyDescent="0.25">
      <c r="E10" s="3"/>
      <c r="F10" s="3"/>
      <c r="G10" s="3"/>
    </row>
    <row r="11" spans="1:8" x14ac:dyDescent="0.25">
      <c r="A11" s="1" t="s">
        <v>12</v>
      </c>
      <c r="E11" s="6">
        <f>SUM(E4:E9)</f>
        <v>1772.9408799999999</v>
      </c>
      <c r="F11" s="4"/>
      <c r="G11" s="6">
        <f>SUM(G4:G9)</f>
        <v>1697.5439999999999</v>
      </c>
    </row>
    <row r="12" spans="1:8" x14ac:dyDescent="0.25">
      <c r="E12" s="3"/>
      <c r="F12" s="3"/>
      <c r="G12" s="3"/>
    </row>
    <row r="13" spans="1:8" x14ac:dyDescent="0.25">
      <c r="E13" s="3"/>
      <c r="F13" s="3"/>
      <c r="G13" s="3"/>
    </row>
    <row r="14" spans="1:8" ht="15.75" x14ac:dyDescent="0.25">
      <c r="A14" s="58" t="s">
        <v>13</v>
      </c>
      <c r="B14" s="59"/>
      <c r="C14" s="59"/>
      <c r="D14" s="59"/>
      <c r="E14" s="59"/>
      <c r="F14" s="59"/>
      <c r="G14" s="59"/>
    </row>
    <row r="15" spans="1:8" outlineLevel="1" x14ac:dyDescent="0.25">
      <c r="A15" s="33" t="s">
        <v>107</v>
      </c>
      <c r="E15" s="3">
        <v>192.18</v>
      </c>
      <c r="F15" s="3"/>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47.68</v>
      </c>
      <c r="F16" s="3"/>
      <c r="G16" s="5"/>
      <c r="H16" t="str">
        <f t="shared" si="1"/>
        <v/>
      </c>
    </row>
    <row r="17" spans="1:8" outlineLevel="1" x14ac:dyDescent="0.25">
      <c r="A17" s="33" t="s">
        <v>15</v>
      </c>
      <c r="E17" s="3">
        <v>2.69</v>
      </c>
      <c r="F17" s="3"/>
      <c r="G17" s="5"/>
      <c r="H17" t="str">
        <f t="shared" si="1"/>
        <v/>
      </c>
    </row>
    <row r="18" spans="1:8" outlineLevel="1" x14ac:dyDescent="0.25">
      <c r="A18" s="33" t="s">
        <v>16</v>
      </c>
      <c r="E18" s="3">
        <v>93.36</v>
      </c>
      <c r="F18" s="3"/>
      <c r="G18" s="5"/>
      <c r="H18" t="str">
        <f t="shared" si="1"/>
        <v/>
      </c>
    </row>
    <row r="19" spans="1:8" x14ac:dyDescent="0.25">
      <c r="A19" s="1" t="s">
        <v>149</v>
      </c>
      <c r="E19" s="4">
        <f>SUM(E15:E18)</f>
        <v>335.91</v>
      </c>
      <c r="F19" s="3"/>
      <c r="G19" s="44">
        <f>SUM(G15:G18)</f>
        <v>0</v>
      </c>
    </row>
    <row r="20" spans="1:8" outlineLevel="1" x14ac:dyDescent="0.25">
      <c r="A20" s="33" t="s">
        <v>17</v>
      </c>
      <c r="E20" s="3">
        <v>10.63</v>
      </c>
      <c r="F20" s="3"/>
      <c r="G20" s="5"/>
      <c r="H20" t="str">
        <f t="shared" si="1"/>
        <v/>
      </c>
    </row>
    <row r="21" spans="1:8" outlineLevel="1" x14ac:dyDescent="0.25">
      <c r="A21" s="33" t="s">
        <v>18</v>
      </c>
      <c r="E21" s="3">
        <v>125.62</v>
      </c>
      <c r="F21" s="3"/>
      <c r="G21" s="5"/>
      <c r="H21" t="str">
        <f t="shared" si="1"/>
        <v/>
      </c>
    </row>
    <row r="22" spans="1:8" outlineLevel="1" x14ac:dyDescent="0.25">
      <c r="A22" s="33" t="s">
        <v>19</v>
      </c>
      <c r="E22" s="3">
        <v>39.549999999999997</v>
      </c>
      <c r="F22" s="3"/>
      <c r="G22" s="5"/>
      <c r="H22" t="str">
        <f t="shared" si="1"/>
        <v/>
      </c>
    </row>
    <row r="23" spans="1:8" outlineLevel="1" x14ac:dyDescent="0.25">
      <c r="A23" s="33" t="s">
        <v>20</v>
      </c>
      <c r="E23" s="3">
        <v>74.709999999999994</v>
      </c>
      <c r="F23" s="3"/>
      <c r="G23" s="5"/>
      <c r="H23" t="str">
        <f t="shared" si="1"/>
        <v/>
      </c>
    </row>
    <row r="24" spans="1:8" outlineLevel="1" x14ac:dyDescent="0.25">
      <c r="A24" s="33" t="s">
        <v>21</v>
      </c>
      <c r="E24" s="3">
        <v>92.87</v>
      </c>
      <c r="F24" s="3"/>
      <c r="G24" s="5"/>
      <c r="H24" t="str">
        <f t="shared" si="1"/>
        <v/>
      </c>
    </row>
    <row r="25" spans="1:8" outlineLevel="1" x14ac:dyDescent="0.25">
      <c r="A25" s="33" t="s">
        <v>22</v>
      </c>
      <c r="E25" s="3">
        <v>77.680000000000007</v>
      </c>
      <c r="F25" s="3"/>
      <c r="G25" s="5"/>
      <c r="H25" t="str">
        <f t="shared" si="1"/>
        <v/>
      </c>
    </row>
    <row r="26" spans="1:8" outlineLevel="1" x14ac:dyDescent="0.25">
      <c r="A26" s="33" t="s">
        <v>23</v>
      </c>
      <c r="D26">
        <f>0.2/2.7</f>
        <v>7.407407407407407E-2</v>
      </c>
      <c r="E26" s="3">
        <v>0.2</v>
      </c>
      <c r="F26" s="3"/>
      <c r="G26" s="5"/>
      <c r="H26" t="str">
        <f t="shared" si="1"/>
        <v/>
      </c>
    </row>
    <row r="27" spans="1:8" x14ac:dyDescent="0.25">
      <c r="A27" s="1" t="s">
        <v>152</v>
      </c>
      <c r="E27" s="4">
        <f>SUM(E20:E26)</f>
        <v>421.26</v>
      </c>
      <c r="F27" s="3"/>
      <c r="G27" s="44">
        <f>SUM(G20:G26)</f>
        <v>0</v>
      </c>
    </row>
    <row r="28" spans="1:8" outlineLevel="1" x14ac:dyDescent="0.25">
      <c r="A28" s="33" t="s">
        <v>24</v>
      </c>
      <c r="E28" s="3">
        <v>5.13</v>
      </c>
      <c r="F28" s="3"/>
      <c r="G28" s="5"/>
      <c r="H28" t="str">
        <f t="shared" si="1"/>
        <v/>
      </c>
    </row>
    <row r="29" spans="1:8" outlineLevel="1" x14ac:dyDescent="0.25">
      <c r="A29" s="33" t="s">
        <v>25</v>
      </c>
      <c r="D29">
        <f>14.1/2.7</f>
        <v>5.2222222222222214</v>
      </c>
      <c r="E29" s="3">
        <v>14.1</v>
      </c>
      <c r="F29" s="3"/>
      <c r="G29" s="5"/>
      <c r="H29" t="str">
        <f t="shared" si="1"/>
        <v/>
      </c>
    </row>
    <row r="30" spans="1:8" outlineLevel="1" x14ac:dyDescent="0.25">
      <c r="A30" s="33" t="s">
        <v>26</v>
      </c>
      <c r="E30" s="3">
        <v>6.55</v>
      </c>
      <c r="F30" s="3"/>
      <c r="G30" s="8"/>
      <c r="H30" t="str">
        <f t="shared" si="1"/>
        <v/>
      </c>
    </row>
    <row r="31" spans="1:8" x14ac:dyDescent="0.25">
      <c r="A31" s="1" t="s">
        <v>153</v>
      </c>
      <c r="E31" s="4">
        <f>SUM(E28:E30)</f>
        <v>25.78</v>
      </c>
      <c r="F31" s="3"/>
      <c r="G31" s="46">
        <f>SUM(G28:G30)</f>
        <v>0</v>
      </c>
    </row>
    <row r="32" spans="1:8" x14ac:dyDescent="0.25">
      <c r="B32" s="1" t="s">
        <v>27</v>
      </c>
      <c r="E32" s="6">
        <f>E19+E27+E31</f>
        <v>782.95</v>
      </c>
      <c r="F32" s="4"/>
      <c r="G32" s="6">
        <f>G31+G27+G19</f>
        <v>0</v>
      </c>
    </row>
    <row r="33" spans="1:8" x14ac:dyDescent="0.25">
      <c r="E33" s="3"/>
      <c r="F33" s="3"/>
      <c r="G33" s="3"/>
    </row>
    <row r="34" spans="1:8" x14ac:dyDescent="0.25">
      <c r="A34" t="s">
        <v>28</v>
      </c>
      <c r="E34" s="3">
        <v>0</v>
      </c>
      <c r="F34" s="3"/>
      <c r="G34" s="5"/>
      <c r="H34" t="str">
        <f t="shared" si="1"/>
        <v/>
      </c>
    </row>
    <row r="35" spans="1:8" x14ac:dyDescent="0.25">
      <c r="A35" t="s">
        <v>29</v>
      </c>
      <c r="E35" s="3">
        <v>7.84</v>
      </c>
      <c r="F35" s="3"/>
      <c r="G35" s="5"/>
      <c r="H35" t="str">
        <f t="shared" si="1"/>
        <v/>
      </c>
    </row>
    <row r="36" spans="1:8" x14ac:dyDescent="0.25">
      <c r="E36" s="3"/>
      <c r="F36" s="3"/>
      <c r="G36" s="3"/>
    </row>
    <row r="37" spans="1:8" ht="27.6" customHeight="1" x14ac:dyDescent="0.25">
      <c r="A37" s="97" t="s">
        <v>32</v>
      </c>
      <c r="B37" s="97"/>
      <c r="C37" s="97"/>
      <c r="D37" s="29"/>
      <c r="E37" s="6">
        <f>E11-(E32+SUM(E34:E35))</f>
        <v>982.1508799999998</v>
      </c>
      <c r="F37" s="4"/>
      <c r="G37" s="6">
        <f>G11-(G32+SUM(G34:G35))</f>
        <v>1697.5439999999999</v>
      </c>
    </row>
    <row r="38" spans="1:8" x14ac:dyDescent="0.25">
      <c r="E38" s="3"/>
      <c r="F38" s="3"/>
      <c r="G38" s="3"/>
    </row>
    <row r="39" spans="1:8" ht="15.75" x14ac:dyDescent="0.25">
      <c r="A39" s="58" t="s">
        <v>30</v>
      </c>
      <c r="B39" s="59"/>
      <c r="C39" s="59"/>
      <c r="D39" s="59"/>
      <c r="E39" s="59"/>
      <c r="F39" s="59"/>
      <c r="G39" s="59"/>
    </row>
    <row r="40" spans="1:8" x14ac:dyDescent="0.25">
      <c r="A40" t="s">
        <v>31</v>
      </c>
      <c r="E40" s="3">
        <v>17.21</v>
      </c>
      <c r="F40" s="3"/>
      <c r="G40" s="5"/>
      <c r="H40" t="str">
        <f t="shared" ref="H40:H44" si="2">IF(G40="","",IF(OR(G40&gt;E40*(1+0.5),G40&lt;E40*(1-0.5)),"La valeur saisie diffère grandement des coûts utilisés dans le modèle. Assurez-vous qu'il ne s'agit pas d'une erreur de saisie",""))</f>
        <v/>
      </c>
    </row>
    <row r="41" spans="1:8" x14ac:dyDescent="0.25">
      <c r="A41" t="s">
        <v>33</v>
      </c>
      <c r="E41" s="3">
        <v>31.83</v>
      </c>
      <c r="F41" s="3"/>
      <c r="G41" s="5"/>
      <c r="H41" t="str">
        <f t="shared" si="2"/>
        <v/>
      </c>
    </row>
    <row r="42" spans="1:8" x14ac:dyDescent="0.25">
      <c r="A42" t="s">
        <v>34</v>
      </c>
      <c r="E42" s="3">
        <v>27.29</v>
      </c>
      <c r="F42" s="3"/>
      <c r="G42" s="5"/>
      <c r="H42" t="str">
        <f t="shared" si="2"/>
        <v/>
      </c>
    </row>
    <row r="43" spans="1:8" x14ac:dyDescent="0.25">
      <c r="A43" t="s">
        <v>35</v>
      </c>
      <c r="E43" s="3">
        <v>75.48</v>
      </c>
      <c r="F43" s="3"/>
      <c r="G43" s="5"/>
      <c r="H43" t="str">
        <f t="shared" si="2"/>
        <v/>
      </c>
    </row>
    <row r="44" spans="1:8" x14ac:dyDescent="0.25">
      <c r="A44" t="s">
        <v>36</v>
      </c>
      <c r="E44" s="3">
        <v>30.53</v>
      </c>
      <c r="F44" s="3"/>
      <c r="G44" s="8"/>
      <c r="H44" t="str">
        <f t="shared" si="2"/>
        <v/>
      </c>
    </row>
    <row r="45" spans="1:8" x14ac:dyDescent="0.25">
      <c r="B45" s="1" t="s">
        <v>27</v>
      </c>
      <c r="E45" s="6">
        <f>SUM(E40:E44)</f>
        <v>182.34</v>
      </c>
      <c r="F45" s="4"/>
      <c r="G45" s="6">
        <f>SUM(G40:G44)</f>
        <v>0</v>
      </c>
    </row>
    <row r="46" spans="1:8" x14ac:dyDescent="0.25">
      <c r="E46" s="3"/>
      <c r="F46" s="3"/>
      <c r="G46" s="3"/>
    </row>
    <row r="47" spans="1:8" ht="28.35" customHeight="1" x14ac:dyDescent="0.25">
      <c r="A47" s="97" t="s">
        <v>39</v>
      </c>
      <c r="B47" s="97"/>
      <c r="C47" s="97"/>
      <c r="D47" s="29"/>
      <c r="E47" s="6">
        <f>E37-E45</f>
        <v>799.81087999999977</v>
      </c>
      <c r="F47" s="4"/>
      <c r="G47" s="6">
        <f>G37-G45</f>
        <v>1697.5439999999999</v>
      </c>
    </row>
    <row r="48" spans="1:8" x14ac:dyDescent="0.25">
      <c r="E48" s="3"/>
      <c r="F48" s="3"/>
      <c r="G48" s="3"/>
    </row>
    <row r="49" spans="1:8" ht="15.75" x14ac:dyDescent="0.25">
      <c r="A49" s="58" t="s">
        <v>173</v>
      </c>
      <c r="B49" s="59"/>
      <c r="C49" s="59"/>
      <c r="D49" s="59"/>
      <c r="E49" s="59"/>
      <c r="F49" s="59"/>
      <c r="G49" s="59"/>
    </row>
    <row r="50" spans="1:8" x14ac:dyDescent="0.25">
      <c r="A50" t="s">
        <v>40</v>
      </c>
      <c r="E50" s="3">
        <v>176.77</v>
      </c>
      <c r="F50" s="3"/>
      <c r="G50" s="5"/>
      <c r="H50" t="str">
        <f t="shared" ref="H50:H52" si="3">IF(G50="","",IF(OR(G50&gt;E50*(1+0.5),G50&lt;E50*(1-0.5)),"La valeur saisie diffère grandement des coûts utilisés dans le modèle. Assurez-vous qu'il ne s'agit pas d'une erreur de saisie",""))</f>
        <v/>
      </c>
    </row>
    <row r="51" spans="1:8" x14ac:dyDescent="0.25">
      <c r="A51" t="s">
        <v>41</v>
      </c>
      <c r="E51" s="3">
        <v>165.51</v>
      </c>
      <c r="F51" s="3"/>
      <c r="G51" s="5"/>
      <c r="H51" t="str">
        <f t="shared" si="3"/>
        <v/>
      </c>
    </row>
    <row r="52" spans="1:8" x14ac:dyDescent="0.25">
      <c r="A52" t="s">
        <v>42</v>
      </c>
      <c r="E52" s="3">
        <v>114.21</v>
      </c>
      <c r="F52" s="3"/>
      <c r="G52" s="5"/>
      <c r="H52" t="str">
        <f t="shared" si="3"/>
        <v/>
      </c>
    </row>
    <row r="53" spans="1:8" x14ac:dyDescent="0.25">
      <c r="B53" s="1" t="s">
        <v>27</v>
      </c>
      <c r="E53" s="4">
        <f>SUM(E50:E52)</f>
        <v>456.48999999999995</v>
      </c>
      <c r="F53" s="4"/>
      <c r="G53" s="4">
        <f>SUM(G50:G52)</f>
        <v>0</v>
      </c>
    </row>
    <row r="54" spans="1:8" x14ac:dyDescent="0.25">
      <c r="E54" s="3"/>
      <c r="F54" s="3"/>
      <c r="G54" s="3"/>
    </row>
    <row r="55" spans="1:8" ht="48" customHeight="1" thickBot="1" x14ac:dyDescent="0.3">
      <c r="A55" s="97" t="s">
        <v>43</v>
      </c>
      <c r="B55" s="97"/>
      <c r="C55" s="97"/>
      <c r="D55" s="29"/>
      <c r="E55" s="9">
        <f>E47-E53</f>
        <v>343.32087999999982</v>
      </c>
      <c r="F55" s="4"/>
      <c r="G55" s="9">
        <f>G47-G53</f>
        <v>1697.5439999999999</v>
      </c>
    </row>
    <row r="56" spans="1:8" ht="15.75" thickTop="1" x14ac:dyDescent="0.25"/>
  </sheetData>
  <mergeCells count="3">
    <mergeCell ref="A37:C37"/>
    <mergeCell ref="A47:C47"/>
    <mergeCell ref="A55:C55"/>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A09DE-8993-4EE7-A567-AB32DA5F8E54}">
  <sheetPr>
    <tabColor theme="5" tint="0.79998168889431442"/>
  </sheetPr>
  <dimension ref="A1:H56"/>
  <sheetViews>
    <sheetView zoomScaleNormal="100" workbookViewId="0"/>
  </sheetViews>
  <sheetFormatPr baseColWidth="10" defaultColWidth="10.85546875" defaultRowHeight="15" outlineLevelRow="1" x14ac:dyDescent="0.25"/>
  <cols>
    <col min="1" max="3" width="13.140625" customWidth="1"/>
    <col min="4" max="4" width="13.140625" hidden="1" customWidth="1"/>
    <col min="5" max="5" width="13.140625" customWidth="1"/>
    <col min="6" max="6" width="2.5703125" customWidth="1"/>
  </cols>
  <sheetData>
    <row r="1" spans="1:8" x14ac:dyDescent="0.25">
      <c r="E1" s="2" t="s">
        <v>62</v>
      </c>
      <c r="F1" s="2"/>
      <c r="G1" s="2" t="s">
        <v>62</v>
      </c>
    </row>
    <row r="2" spans="1:8" ht="15.75" x14ac:dyDescent="0.25">
      <c r="E2" s="54" t="s">
        <v>161</v>
      </c>
      <c r="F2" s="14"/>
      <c r="G2" s="55" t="s">
        <v>49</v>
      </c>
    </row>
    <row r="3" spans="1:8" ht="15.75" x14ac:dyDescent="0.25">
      <c r="A3" s="58" t="s">
        <v>11</v>
      </c>
      <c r="B3" s="59"/>
      <c r="C3" s="59"/>
      <c r="D3" s="59"/>
      <c r="E3" s="59"/>
      <c r="F3" s="59"/>
      <c r="G3" s="59"/>
    </row>
    <row r="4" spans="1:8" x14ac:dyDescent="0.25">
      <c r="A4" t="s">
        <v>73</v>
      </c>
      <c r="E4" s="3">
        <f>Saisies!B11*Saisies!B24</f>
        <v>907.5</v>
      </c>
      <c r="F4" s="3"/>
      <c r="G4" s="3">
        <f>IF(Saisies!C11="",Saisies!B11,Saisies!C11)*IF(Saisies!C24="",Saisies!B24,Saisies!C24)</f>
        <v>907.5</v>
      </c>
      <c r="H4" t="str">
        <f>IF(G4="","",IF(OR(G4&gt;E4*(1+0.5),G4&lt;E4*(1-0.5)),"La valeur saisie diffère grandement des coûts utilisés dans le modèle. Assurez-vous qu'il ne s'agit pas d'une erreur de saisie",""))</f>
        <v/>
      </c>
    </row>
    <row r="5" spans="1:8" x14ac:dyDescent="0.25">
      <c r="A5" t="s">
        <v>10</v>
      </c>
      <c r="E5" s="3">
        <f>IF(ASRA_Calculs!$B$5&lt;ASRA_Calculs!$C$5,(ASRA_Calculs!$C$5-ASRA_Calculs!$B$5)*ASRA_Calculs!$D$5,0)</f>
        <v>0</v>
      </c>
      <c r="F5" s="3"/>
      <c r="G5" s="3">
        <f>IF(ASRA_Calculs!$B$5&lt;ASRA_Calculs!$C$5,(ASRA_Calculs!$C$5-ASRA_Calculs!$B$5)*ASRA_Calculs!$D$5,0)</f>
        <v>0</v>
      </c>
      <c r="H5" t="str">
        <f t="shared" ref="H5:H8" si="0">IF(G5="","",IF(OR(G5&gt;E5*(1+0.5),G5&lt;E5*(1-0.5)),"La valeur saisie diffère grandement des coûts utilisés dans le modèle. Assurez-vous qu'il ne s'agit pas d'une erreur de saisie",""))</f>
        <v/>
      </c>
    </row>
    <row r="6" spans="1:8" x14ac:dyDescent="0.25">
      <c r="A6" t="s">
        <v>146</v>
      </c>
      <c r="E6" s="3">
        <v>165.64</v>
      </c>
      <c r="F6" s="3"/>
      <c r="G6" s="5"/>
      <c r="H6" t="str">
        <f t="shared" si="0"/>
        <v/>
      </c>
    </row>
    <row r="7" spans="1:8" outlineLevel="1" x14ac:dyDescent="0.25">
      <c r="A7" s="33" t="s">
        <v>168</v>
      </c>
      <c r="E7" s="3">
        <f>(E4+E6-E15)*0.01</f>
        <v>9.3591999999999995</v>
      </c>
      <c r="F7" s="3"/>
      <c r="G7" s="3">
        <f>(G4+G6-G15)*0.01</f>
        <v>9.0750000000000011</v>
      </c>
      <c r="H7" t="str">
        <f t="shared" si="0"/>
        <v/>
      </c>
    </row>
    <row r="8" spans="1:8" outlineLevel="1" x14ac:dyDescent="0.25">
      <c r="A8" s="33" t="s">
        <v>38</v>
      </c>
      <c r="E8" s="3">
        <v>74.010000000000005</v>
      </c>
      <c r="F8" s="3"/>
      <c r="G8" s="5"/>
      <c r="H8" t="str">
        <f t="shared" si="0"/>
        <v/>
      </c>
    </row>
    <row r="9" spans="1:8" x14ac:dyDescent="0.25">
      <c r="A9" s="1" t="s">
        <v>38</v>
      </c>
      <c r="E9" s="4">
        <f>SUM(E7:E8)</f>
        <v>83.369200000000006</v>
      </c>
      <c r="F9" s="3"/>
      <c r="G9" s="4">
        <f>SUM(G7:G8)</f>
        <v>9.0750000000000011</v>
      </c>
    </row>
    <row r="10" spans="1:8" x14ac:dyDescent="0.25">
      <c r="E10" s="3"/>
      <c r="F10" s="3"/>
      <c r="G10" s="3"/>
    </row>
    <row r="11" spans="1:8" x14ac:dyDescent="0.25">
      <c r="A11" s="1" t="s">
        <v>12</v>
      </c>
      <c r="E11" s="6">
        <f>SUM(E4:E9)</f>
        <v>1239.8784000000001</v>
      </c>
      <c r="F11" s="4"/>
      <c r="G11" s="6">
        <f>SUM(G4:G9)</f>
        <v>925.65000000000009</v>
      </c>
    </row>
    <row r="12" spans="1:8" x14ac:dyDescent="0.25">
      <c r="E12" s="3"/>
      <c r="F12" s="3"/>
      <c r="G12" s="3"/>
    </row>
    <row r="13" spans="1:8" x14ac:dyDescent="0.25">
      <c r="E13" s="3"/>
      <c r="F13" s="3"/>
      <c r="G13" s="3"/>
    </row>
    <row r="14" spans="1:8" ht="15.75" x14ac:dyDescent="0.25">
      <c r="A14" s="58" t="s">
        <v>13</v>
      </c>
      <c r="B14" s="59"/>
      <c r="C14" s="59"/>
      <c r="D14" s="59"/>
      <c r="E14" s="59"/>
      <c r="F14" s="59"/>
      <c r="G14" s="59"/>
    </row>
    <row r="15" spans="1:8" outlineLevel="1" x14ac:dyDescent="0.25">
      <c r="A15" s="33" t="s">
        <v>107</v>
      </c>
      <c r="E15" s="3">
        <v>137.22</v>
      </c>
      <c r="F15" s="3"/>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143.56</v>
      </c>
      <c r="F16" s="3"/>
      <c r="G16" s="5"/>
      <c r="H16" t="str">
        <f t="shared" si="1"/>
        <v/>
      </c>
    </row>
    <row r="17" spans="1:8" outlineLevel="1" x14ac:dyDescent="0.25">
      <c r="A17" s="33" t="s">
        <v>15</v>
      </c>
      <c r="E17" s="3">
        <v>4.8899999999999997</v>
      </c>
      <c r="F17" s="3"/>
      <c r="G17" s="5"/>
      <c r="H17" t="str">
        <f t="shared" si="1"/>
        <v/>
      </c>
    </row>
    <row r="18" spans="1:8" outlineLevel="1" x14ac:dyDescent="0.25">
      <c r="A18" s="33" t="s">
        <v>16</v>
      </c>
      <c r="E18" s="3">
        <v>44.38</v>
      </c>
      <c r="F18" s="3"/>
      <c r="G18" s="5"/>
      <c r="H18" t="str">
        <f t="shared" si="1"/>
        <v/>
      </c>
    </row>
    <row r="19" spans="1:8" x14ac:dyDescent="0.25">
      <c r="A19" s="1" t="s">
        <v>149</v>
      </c>
      <c r="E19" s="4">
        <f>SUM(E15:E18)</f>
        <v>330.04999999999995</v>
      </c>
      <c r="F19" s="3"/>
      <c r="G19" s="44">
        <f>SUM(G15:G18)</f>
        <v>0</v>
      </c>
    </row>
    <row r="20" spans="1:8" outlineLevel="1" x14ac:dyDescent="0.25">
      <c r="A20" s="33" t="s">
        <v>17</v>
      </c>
      <c r="E20" s="3">
        <v>13.28</v>
      </c>
      <c r="F20" s="3"/>
      <c r="G20" s="5"/>
      <c r="H20" t="str">
        <f t="shared" si="1"/>
        <v/>
      </c>
    </row>
    <row r="21" spans="1:8" outlineLevel="1" x14ac:dyDescent="0.25">
      <c r="A21" s="33" t="s">
        <v>18</v>
      </c>
      <c r="E21" s="3">
        <v>22.08</v>
      </c>
      <c r="F21" s="3"/>
      <c r="G21" s="5"/>
      <c r="H21" t="str">
        <f t="shared" si="1"/>
        <v/>
      </c>
    </row>
    <row r="22" spans="1:8" outlineLevel="1" x14ac:dyDescent="0.25">
      <c r="A22" s="33" t="s">
        <v>19</v>
      </c>
      <c r="E22" s="3">
        <v>4.9800000000000004</v>
      </c>
      <c r="F22" s="3"/>
      <c r="G22" s="5"/>
      <c r="H22" t="str">
        <f t="shared" si="1"/>
        <v/>
      </c>
    </row>
    <row r="23" spans="1:8" outlineLevel="1" x14ac:dyDescent="0.25">
      <c r="A23" s="33" t="s">
        <v>150</v>
      </c>
      <c r="E23" s="3">
        <v>35.67</v>
      </c>
      <c r="F23" s="3"/>
      <c r="G23" s="5"/>
      <c r="H23" t="str">
        <f t="shared" si="1"/>
        <v/>
      </c>
    </row>
    <row r="24" spans="1:8" outlineLevel="1" x14ac:dyDescent="0.25">
      <c r="A24" s="33" t="s">
        <v>21</v>
      </c>
      <c r="E24" s="3">
        <v>90.77</v>
      </c>
      <c r="F24" s="3"/>
      <c r="G24" s="5"/>
      <c r="H24" t="str">
        <f t="shared" si="1"/>
        <v/>
      </c>
    </row>
    <row r="25" spans="1:8" outlineLevel="1" x14ac:dyDescent="0.25">
      <c r="A25" s="33" t="s">
        <v>22</v>
      </c>
      <c r="E25" s="3">
        <v>66.17</v>
      </c>
      <c r="F25" s="3"/>
      <c r="G25" s="5"/>
      <c r="H25" t="str">
        <f t="shared" si="1"/>
        <v/>
      </c>
    </row>
    <row r="26" spans="1:8" outlineLevel="1" x14ac:dyDescent="0.25">
      <c r="A26" s="33" t="s">
        <v>23</v>
      </c>
      <c r="D26">
        <f>62.15/3.3</f>
        <v>18.833333333333332</v>
      </c>
      <c r="E26" s="3">
        <v>62.15</v>
      </c>
      <c r="F26" s="3"/>
      <c r="G26" s="5"/>
      <c r="H26" t="str">
        <f t="shared" si="1"/>
        <v/>
      </c>
    </row>
    <row r="27" spans="1:8" x14ac:dyDescent="0.25">
      <c r="A27" s="1" t="s">
        <v>152</v>
      </c>
      <c r="E27" s="4">
        <f>SUM(E20:E26)</f>
        <v>295.09999999999997</v>
      </c>
      <c r="F27" s="3"/>
      <c r="G27" s="44">
        <f>SUM(G20:G26)</f>
        <v>0</v>
      </c>
    </row>
    <row r="28" spans="1:8" outlineLevel="1" x14ac:dyDescent="0.25">
      <c r="A28" s="33" t="s">
        <v>24</v>
      </c>
      <c r="E28" s="3">
        <v>7.12</v>
      </c>
      <c r="F28" s="3"/>
      <c r="G28" s="5"/>
      <c r="H28" t="str">
        <f t="shared" si="1"/>
        <v/>
      </c>
    </row>
    <row r="29" spans="1:8" outlineLevel="1" x14ac:dyDescent="0.25">
      <c r="A29" s="33" t="s">
        <v>25</v>
      </c>
      <c r="D29">
        <f>39.92/3.3</f>
        <v>12.096969696969698</v>
      </c>
      <c r="E29" s="3">
        <v>39.92</v>
      </c>
      <c r="F29" s="3"/>
      <c r="G29" s="5"/>
      <c r="H29" t="str">
        <f t="shared" si="1"/>
        <v/>
      </c>
    </row>
    <row r="30" spans="1:8" outlineLevel="1" x14ac:dyDescent="0.25">
      <c r="A30" s="33" t="s">
        <v>26</v>
      </c>
      <c r="E30" s="3">
        <v>16.420000000000002</v>
      </c>
      <c r="F30" s="3"/>
      <c r="G30" s="5"/>
      <c r="H30" t="str">
        <f t="shared" si="1"/>
        <v/>
      </c>
    </row>
    <row r="31" spans="1:8" x14ac:dyDescent="0.25">
      <c r="A31" s="1" t="s">
        <v>153</v>
      </c>
      <c r="E31" s="4">
        <f>SUM(E28:E30)</f>
        <v>63.46</v>
      </c>
      <c r="F31" s="3"/>
      <c r="G31" s="4">
        <f>SUM(G28:G30)</f>
        <v>0</v>
      </c>
    </row>
    <row r="32" spans="1:8" x14ac:dyDescent="0.25">
      <c r="B32" s="1" t="s">
        <v>27</v>
      </c>
      <c r="E32" s="6">
        <f>E19+E27+E31</f>
        <v>688.6099999999999</v>
      </c>
      <c r="F32" s="4"/>
      <c r="G32" s="6">
        <f>G19+G27+G31</f>
        <v>0</v>
      </c>
    </row>
    <row r="33" spans="1:8" x14ac:dyDescent="0.25">
      <c r="E33" s="3"/>
      <c r="F33" s="3"/>
      <c r="G33" s="3"/>
    </row>
    <row r="34" spans="1:8" x14ac:dyDescent="0.25">
      <c r="A34" t="s">
        <v>28</v>
      </c>
      <c r="E34" s="3">
        <v>47.09</v>
      </c>
      <c r="F34" s="3"/>
      <c r="G34" s="5"/>
      <c r="H34" t="str">
        <f t="shared" si="1"/>
        <v/>
      </c>
    </row>
    <row r="35" spans="1:8" x14ac:dyDescent="0.25">
      <c r="A35" t="s">
        <v>29</v>
      </c>
      <c r="E35" s="3">
        <f>1.81+8.74</f>
        <v>10.55</v>
      </c>
      <c r="F35" s="3"/>
      <c r="G35" s="5"/>
      <c r="H35" t="str">
        <f t="shared" si="1"/>
        <v/>
      </c>
    </row>
    <row r="36" spans="1:8" x14ac:dyDescent="0.25">
      <c r="E36" s="3"/>
      <c r="F36" s="3"/>
      <c r="G36" s="3"/>
    </row>
    <row r="37" spans="1:8" ht="27.6" customHeight="1" x14ac:dyDescent="0.25">
      <c r="A37" s="97" t="s">
        <v>32</v>
      </c>
      <c r="B37" s="97"/>
      <c r="C37" s="97"/>
      <c r="D37" s="29"/>
      <c r="E37" s="6">
        <f>E11-(E32+SUM(E34:E35))</f>
        <v>493.62840000000017</v>
      </c>
      <c r="F37" s="4"/>
      <c r="G37" s="6">
        <f>G11-(G32+SUM(G34:G35))</f>
        <v>925.65000000000009</v>
      </c>
    </row>
    <row r="38" spans="1:8" x14ac:dyDescent="0.25">
      <c r="E38" s="3"/>
      <c r="F38" s="3"/>
      <c r="G38" s="3"/>
    </row>
    <row r="39" spans="1:8" ht="15.75" x14ac:dyDescent="0.25">
      <c r="A39" s="58" t="s">
        <v>30</v>
      </c>
      <c r="B39" s="59"/>
      <c r="C39" s="59"/>
      <c r="D39" s="59"/>
      <c r="E39" s="59"/>
      <c r="F39" s="59"/>
      <c r="G39" s="59"/>
    </row>
    <row r="40" spans="1:8" x14ac:dyDescent="0.25">
      <c r="A40" t="s">
        <v>31</v>
      </c>
      <c r="E40" s="3">
        <v>12.39</v>
      </c>
      <c r="F40" s="3"/>
      <c r="G40" s="5"/>
      <c r="H40" t="str">
        <f t="shared" ref="H40:H44" si="2">IF(G40="","",IF(OR(G40&gt;E40*(1+0.5),G40&lt;E40*(1-0.5)),"La valeur saisie diffère grandement des coûts utilisés dans le modèle. Assurez-vous qu'il ne s'agit pas d'une erreur de saisie",""))</f>
        <v/>
      </c>
    </row>
    <row r="41" spans="1:8" x14ac:dyDescent="0.25">
      <c r="A41" t="s">
        <v>33</v>
      </c>
      <c r="E41" s="3">
        <v>25.84</v>
      </c>
      <c r="F41" s="3"/>
      <c r="G41" s="5"/>
      <c r="H41" t="str">
        <f t="shared" si="2"/>
        <v/>
      </c>
    </row>
    <row r="42" spans="1:8" x14ac:dyDescent="0.25">
      <c r="A42" t="s">
        <v>34</v>
      </c>
      <c r="E42" s="3">
        <v>13.22</v>
      </c>
      <c r="F42" s="3"/>
      <c r="G42" s="5"/>
      <c r="H42" t="str">
        <f t="shared" si="2"/>
        <v/>
      </c>
    </row>
    <row r="43" spans="1:8" x14ac:dyDescent="0.25">
      <c r="A43" t="s">
        <v>35</v>
      </c>
      <c r="E43" s="3">
        <v>51.4</v>
      </c>
      <c r="F43" s="3"/>
      <c r="G43" s="5"/>
      <c r="H43" t="str">
        <f t="shared" si="2"/>
        <v/>
      </c>
    </row>
    <row r="44" spans="1:8" x14ac:dyDescent="0.25">
      <c r="A44" t="s">
        <v>36</v>
      </c>
      <c r="E44" s="3">
        <v>30.8</v>
      </c>
      <c r="F44" s="3"/>
      <c r="G44" s="8"/>
      <c r="H44" t="str">
        <f t="shared" si="2"/>
        <v/>
      </c>
    </row>
    <row r="45" spans="1:8" x14ac:dyDescent="0.25">
      <c r="B45" s="1" t="s">
        <v>27</v>
      </c>
      <c r="E45" s="6">
        <f>SUM(E40:E44)</f>
        <v>133.65</v>
      </c>
      <c r="F45" s="4"/>
      <c r="G45" s="6">
        <f t="shared" ref="G45" si="3">SUM(G40:G44)</f>
        <v>0</v>
      </c>
    </row>
    <row r="46" spans="1:8" x14ac:dyDescent="0.25">
      <c r="E46" s="3"/>
      <c r="F46" s="3"/>
      <c r="G46" s="3"/>
    </row>
    <row r="47" spans="1:8" ht="28.35" customHeight="1" x14ac:dyDescent="0.25">
      <c r="A47" s="97" t="s">
        <v>39</v>
      </c>
      <c r="B47" s="97"/>
      <c r="C47" s="97"/>
      <c r="D47" s="29"/>
      <c r="E47" s="6">
        <f>E37-E45</f>
        <v>359.97840000000019</v>
      </c>
      <c r="F47" s="3"/>
      <c r="G47" s="6">
        <f>G37-G45</f>
        <v>925.65000000000009</v>
      </c>
    </row>
    <row r="48" spans="1:8" x14ac:dyDescent="0.25">
      <c r="E48" s="3"/>
      <c r="F48" s="4"/>
      <c r="G48" s="3"/>
    </row>
    <row r="49" spans="1:8" ht="15.75" x14ac:dyDescent="0.25">
      <c r="A49" s="58" t="s">
        <v>173</v>
      </c>
      <c r="B49" s="59"/>
      <c r="C49" s="59"/>
      <c r="D49" s="59"/>
      <c r="E49" s="59"/>
      <c r="F49" s="59"/>
      <c r="G49" s="59"/>
    </row>
    <row r="50" spans="1:8" x14ac:dyDescent="0.25">
      <c r="A50" t="s">
        <v>40</v>
      </c>
      <c r="E50" s="3">
        <v>161.34</v>
      </c>
      <c r="F50" s="3"/>
      <c r="G50" s="5"/>
      <c r="H50" t="str">
        <f t="shared" ref="H50:H52" si="4">IF(G50="","",IF(OR(G50&gt;E50*(1+0.5),G50&lt;E50*(1-0.5)),"La valeur saisie diffère grandement des coûts utilisés dans le modèle. Assurez-vous qu'il ne s'agit pas d'une erreur de saisie",""))</f>
        <v/>
      </c>
    </row>
    <row r="51" spans="1:8" x14ac:dyDescent="0.25">
      <c r="A51" t="s">
        <v>41</v>
      </c>
      <c r="E51" s="3">
        <v>157.68</v>
      </c>
      <c r="F51" s="4"/>
      <c r="G51" s="5"/>
      <c r="H51" t="str">
        <f t="shared" si="4"/>
        <v/>
      </c>
    </row>
    <row r="52" spans="1:8" x14ac:dyDescent="0.25">
      <c r="A52" t="s">
        <v>42</v>
      </c>
      <c r="E52" s="3">
        <v>24.42</v>
      </c>
      <c r="G52" s="5"/>
      <c r="H52" t="str">
        <f t="shared" si="4"/>
        <v/>
      </c>
    </row>
    <row r="53" spans="1:8" x14ac:dyDescent="0.25">
      <c r="B53" s="1" t="s">
        <v>27</v>
      </c>
      <c r="E53" s="4">
        <f>SUM(E50:E52)</f>
        <v>343.44</v>
      </c>
      <c r="G53" s="4">
        <f t="shared" ref="G53" si="5">SUM(G50:G52)</f>
        <v>0</v>
      </c>
    </row>
    <row r="54" spans="1:8" x14ac:dyDescent="0.25">
      <c r="E54" s="3"/>
      <c r="G54" s="3"/>
    </row>
    <row r="55" spans="1:8" ht="48" customHeight="1" thickBot="1" x14ac:dyDescent="0.3">
      <c r="A55" s="97" t="s">
        <v>43</v>
      </c>
      <c r="B55" s="97"/>
      <c r="C55" s="97"/>
      <c r="D55" s="29"/>
      <c r="E55" s="9">
        <f>E47-E53</f>
        <v>16.538400000000195</v>
      </c>
      <c r="G55" s="9">
        <f t="shared" ref="G55" si="6">G47-G53</f>
        <v>925.65000000000009</v>
      </c>
    </row>
    <row r="56" spans="1:8" ht="15.75" thickTop="1" x14ac:dyDescent="0.25"/>
  </sheetData>
  <dataConsolidate/>
  <mergeCells count="3">
    <mergeCell ref="A37:C37"/>
    <mergeCell ref="A47:C47"/>
    <mergeCell ref="A55:C55"/>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EEB2-A35C-4B40-913D-FFC484EB926E}">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6" max="6" width="2.5703125" customWidth="1"/>
  </cols>
  <sheetData>
    <row r="1" spans="1:8" x14ac:dyDescent="0.25">
      <c r="E1" s="2" t="s">
        <v>62</v>
      </c>
      <c r="F1" s="2"/>
      <c r="G1" s="2" t="s">
        <v>62</v>
      </c>
    </row>
    <row r="2" spans="1:8" ht="15.75" x14ac:dyDescent="0.25">
      <c r="E2" s="54" t="s">
        <v>161</v>
      </c>
      <c r="G2" s="55" t="s">
        <v>49</v>
      </c>
    </row>
    <row r="3" spans="1:8" ht="15.75" x14ac:dyDescent="0.25">
      <c r="A3" s="58" t="s">
        <v>11</v>
      </c>
      <c r="B3" s="59"/>
      <c r="C3" s="59"/>
      <c r="D3" s="59"/>
      <c r="E3" s="59"/>
      <c r="F3" s="59"/>
      <c r="G3" s="59"/>
    </row>
    <row r="4" spans="1:8" x14ac:dyDescent="0.25">
      <c r="A4" t="s">
        <v>73</v>
      </c>
      <c r="E4" s="3">
        <f>Saisies!B12*Saisies!B25</f>
        <v>722.80000000000007</v>
      </c>
      <c r="G4" s="3">
        <f>IF(Saisies!C12="",Saisies!B12,Saisies!C12)*IF(Saisies!C25="",Saisies!B25,Saisies!C25)</f>
        <v>722.80000000000007</v>
      </c>
      <c r="H4" t="str">
        <f>IF(G4="","",IF(OR(G4&gt;E4*(1+0.5),G4&lt;E4*(1-0.5)),"La valeur saisie diffère grandement des coûts utilisés dans le modèle. Assurez-vous qu'il ne s'agit pas d'une erreur de saisie",""))</f>
        <v/>
      </c>
    </row>
    <row r="5" spans="1:8" x14ac:dyDescent="0.25">
      <c r="A5" t="s">
        <v>10</v>
      </c>
      <c r="E5" s="3">
        <f>IF(ASRA_Calculs!$B$6&lt;ASRA_Calculs!$C$6,(ASRA_Calculs!$C$6-ASRA_Calculs!$B$6)*ASRA_Calculs!$D$6,0)</f>
        <v>0</v>
      </c>
      <c r="G5" s="3">
        <f>IF(ASRA_Calculs!$B$6&lt;ASRA_Calculs!$C$6,(ASRA_Calculs!$C$6-ASRA_Calculs!$B$6)*ASRA_Calculs!$D$6,0)</f>
        <v>0</v>
      </c>
      <c r="H5" t="str">
        <f t="shared" ref="H5:H8" si="0">IF(G5="","",IF(OR(G5&gt;E5*(1+0.5),G5&lt;E5*(1-0.5)),"La valeur saisie diffère grandement des coûts utilisés dans le modèle. Assurez-vous qu'il ne s'agit pas d'une erreur de saisie",""))</f>
        <v/>
      </c>
    </row>
    <row r="6" spans="1:8" x14ac:dyDescent="0.25">
      <c r="A6" t="s">
        <v>146</v>
      </c>
      <c r="E6" s="3">
        <v>89.45</v>
      </c>
      <c r="G6" s="5"/>
      <c r="H6" t="str">
        <f t="shared" si="0"/>
        <v/>
      </c>
    </row>
    <row r="7" spans="1:8" outlineLevel="1" x14ac:dyDescent="0.25">
      <c r="A7" s="33" t="s">
        <v>168</v>
      </c>
      <c r="E7" s="3">
        <f>(E4+E6-E15)*0.01</f>
        <v>7.1457000000000015</v>
      </c>
      <c r="G7" s="3">
        <f>(G4+G6-G15)*0.01</f>
        <v>7.2280000000000006</v>
      </c>
      <c r="H7" t="str">
        <f t="shared" si="0"/>
        <v/>
      </c>
    </row>
    <row r="8" spans="1:8" outlineLevel="1" x14ac:dyDescent="0.25">
      <c r="A8" s="33" t="s">
        <v>38</v>
      </c>
      <c r="E8" s="3">
        <v>43.9</v>
      </c>
      <c r="G8" s="5"/>
      <c r="H8" t="str">
        <f t="shared" si="0"/>
        <v/>
      </c>
    </row>
    <row r="9" spans="1:8" x14ac:dyDescent="0.25">
      <c r="A9" s="1" t="s">
        <v>38</v>
      </c>
      <c r="E9" s="4">
        <f>SUM(E7:E8)</f>
        <v>51.045699999999997</v>
      </c>
      <c r="G9" s="4">
        <f>SUM(G7:G8)</f>
        <v>7.2280000000000006</v>
      </c>
    </row>
    <row r="10" spans="1:8" x14ac:dyDescent="0.25">
      <c r="E10" s="3"/>
      <c r="G10" s="3"/>
    </row>
    <row r="11" spans="1:8" x14ac:dyDescent="0.25">
      <c r="A11" s="1" t="s">
        <v>12</v>
      </c>
      <c r="E11" s="6">
        <f>SUM(E4:E9)</f>
        <v>914.34140000000014</v>
      </c>
      <c r="G11" s="6">
        <f>SUM(G4:G9)</f>
        <v>737.25599999999997</v>
      </c>
    </row>
    <row r="12" spans="1:8" x14ac:dyDescent="0.25">
      <c r="E12" s="3"/>
      <c r="G12" s="3"/>
    </row>
    <row r="13" spans="1:8" x14ac:dyDescent="0.25">
      <c r="E13" s="3"/>
      <c r="G13" s="3"/>
    </row>
    <row r="14" spans="1:8" ht="15.75" x14ac:dyDescent="0.25">
      <c r="A14" s="58" t="s">
        <v>13</v>
      </c>
      <c r="B14" s="59"/>
      <c r="C14" s="59"/>
      <c r="D14" s="59"/>
      <c r="E14" s="59"/>
      <c r="F14" s="59"/>
      <c r="G14" s="59"/>
    </row>
    <row r="15" spans="1:8" outlineLevel="1" x14ac:dyDescent="0.25">
      <c r="A15" s="33" t="s">
        <v>107</v>
      </c>
      <c r="E15" s="3">
        <v>97.68</v>
      </c>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105.11</v>
      </c>
      <c r="G16" s="5"/>
      <c r="H16" t="str">
        <f t="shared" si="1"/>
        <v/>
      </c>
    </row>
    <row r="17" spans="1:8" outlineLevel="1" x14ac:dyDescent="0.25">
      <c r="A17" s="33" t="s">
        <v>15</v>
      </c>
      <c r="E17" s="3">
        <v>7.21</v>
      </c>
      <c r="G17" s="5"/>
      <c r="H17" t="str">
        <f t="shared" si="1"/>
        <v/>
      </c>
    </row>
    <row r="18" spans="1:8" outlineLevel="1" x14ac:dyDescent="0.25">
      <c r="A18" s="33" t="s">
        <v>16</v>
      </c>
      <c r="E18" s="3">
        <v>25.32</v>
      </c>
      <c r="G18" s="8"/>
      <c r="H18" t="str">
        <f t="shared" si="1"/>
        <v/>
      </c>
    </row>
    <row r="19" spans="1:8" x14ac:dyDescent="0.25">
      <c r="A19" s="1" t="s">
        <v>149</v>
      </c>
      <c r="E19" s="4">
        <f>SUM(E15:E18)</f>
        <v>235.32000000000002</v>
      </c>
      <c r="G19" s="44">
        <f>SUM(G15:G18)</f>
        <v>0</v>
      </c>
    </row>
    <row r="20" spans="1:8" outlineLevel="1" x14ac:dyDescent="0.25">
      <c r="A20" s="33" t="s">
        <v>17</v>
      </c>
      <c r="E20" s="3">
        <v>18.170000000000002</v>
      </c>
      <c r="G20" s="5"/>
      <c r="H20" t="str">
        <f t="shared" si="1"/>
        <v/>
      </c>
    </row>
    <row r="21" spans="1:8" outlineLevel="1" x14ac:dyDescent="0.25">
      <c r="A21" s="33" t="s">
        <v>18</v>
      </c>
      <c r="E21" s="3">
        <v>22.45</v>
      </c>
      <c r="G21" s="5"/>
      <c r="H21" t="str">
        <f t="shared" si="1"/>
        <v/>
      </c>
    </row>
    <row r="22" spans="1:8" outlineLevel="1" x14ac:dyDescent="0.25">
      <c r="A22" s="33" t="s">
        <v>19</v>
      </c>
      <c r="E22" s="3">
        <v>12.2</v>
      </c>
      <c r="G22" s="5"/>
      <c r="H22" t="str">
        <f t="shared" si="1"/>
        <v/>
      </c>
    </row>
    <row r="23" spans="1:8" outlineLevel="1" x14ac:dyDescent="0.25">
      <c r="A23" s="33" t="s">
        <v>20</v>
      </c>
      <c r="E23" s="3">
        <v>41.43</v>
      </c>
      <c r="G23" s="5"/>
      <c r="H23" t="str">
        <f t="shared" si="1"/>
        <v/>
      </c>
    </row>
    <row r="24" spans="1:8" outlineLevel="1" x14ac:dyDescent="0.25">
      <c r="A24" s="33" t="s">
        <v>21</v>
      </c>
      <c r="E24" s="3">
        <v>63.2</v>
      </c>
      <c r="G24" s="5"/>
      <c r="H24" t="str">
        <f t="shared" si="1"/>
        <v/>
      </c>
    </row>
    <row r="25" spans="1:8" outlineLevel="1" x14ac:dyDescent="0.25">
      <c r="A25" s="33" t="s">
        <v>22</v>
      </c>
      <c r="E25" s="3">
        <v>57.4</v>
      </c>
      <c r="G25" s="5"/>
      <c r="H25" t="str">
        <f t="shared" si="1"/>
        <v/>
      </c>
    </row>
    <row r="26" spans="1:8" outlineLevel="1" x14ac:dyDescent="0.25">
      <c r="A26" s="33" t="s">
        <v>23</v>
      </c>
      <c r="D26">
        <f>29.68/2.6</f>
        <v>11.415384615384616</v>
      </c>
      <c r="E26" s="3">
        <v>29.68</v>
      </c>
      <c r="G26" s="8"/>
      <c r="H26" t="str">
        <f t="shared" si="1"/>
        <v/>
      </c>
    </row>
    <row r="27" spans="1:8" x14ac:dyDescent="0.25">
      <c r="A27" s="1" t="s">
        <v>152</v>
      </c>
      <c r="E27" s="4">
        <f>SUM(E20:E26)</f>
        <v>244.53</v>
      </c>
      <c r="G27" s="44">
        <f>SUM(G20:G26)</f>
        <v>0</v>
      </c>
    </row>
    <row r="28" spans="1:8" outlineLevel="1" x14ac:dyDescent="0.25">
      <c r="A28" s="33" t="s">
        <v>24</v>
      </c>
      <c r="E28" s="3">
        <v>8.4499999999999993</v>
      </c>
      <c r="G28" s="5"/>
      <c r="H28" t="str">
        <f t="shared" si="1"/>
        <v/>
      </c>
    </row>
    <row r="29" spans="1:8" outlineLevel="1" x14ac:dyDescent="0.25">
      <c r="A29" s="33" t="s">
        <v>25</v>
      </c>
      <c r="D29">
        <f>30.5/2.6</f>
        <v>11.73076923076923</v>
      </c>
      <c r="E29" s="3">
        <v>30.5</v>
      </c>
      <c r="G29" s="5"/>
      <c r="H29" t="str">
        <f t="shared" si="1"/>
        <v/>
      </c>
    </row>
    <row r="30" spans="1:8" outlineLevel="1" x14ac:dyDescent="0.25">
      <c r="A30" s="33" t="s">
        <v>26</v>
      </c>
      <c r="E30" s="3">
        <v>12.31</v>
      </c>
      <c r="G30" s="8"/>
      <c r="H30" t="str">
        <f t="shared" si="1"/>
        <v/>
      </c>
    </row>
    <row r="31" spans="1:8" x14ac:dyDescent="0.25">
      <c r="A31" s="1" t="s">
        <v>153</v>
      </c>
      <c r="E31" s="4">
        <f>SUM(E28:E30)</f>
        <v>51.260000000000005</v>
      </c>
      <c r="G31" s="45">
        <f>SUM(G28:G30)</f>
        <v>0</v>
      </c>
    </row>
    <row r="32" spans="1:8" x14ac:dyDescent="0.25">
      <c r="B32" s="1" t="s">
        <v>27</v>
      </c>
      <c r="E32" s="6">
        <f>E19+E27+E31</f>
        <v>531.11</v>
      </c>
      <c r="G32" s="6">
        <f>G19+G27+G31</f>
        <v>0</v>
      </c>
    </row>
    <row r="33" spans="1:8" x14ac:dyDescent="0.25">
      <c r="E33" s="3"/>
      <c r="G33" s="3"/>
    </row>
    <row r="34" spans="1:8" x14ac:dyDescent="0.25">
      <c r="A34" t="s">
        <v>28</v>
      </c>
      <c r="E34" s="3">
        <v>69.78</v>
      </c>
      <c r="G34" s="5"/>
      <c r="H34" t="str">
        <f t="shared" si="1"/>
        <v/>
      </c>
    </row>
    <row r="35" spans="1:8" x14ac:dyDescent="0.25">
      <c r="A35" t="s">
        <v>29</v>
      </c>
      <c r="E35" s="3">
        <v>3.51</v>
      </c>
      <c r="G35" s="5"/>
      <c r="H35" t="str">
        <f t="shared" si="1"/>
        <v/>
      </c>
    </row>
    <row r="36" spans="1:8" x14ac:dyDescent="0.25">
      <c r="E36" s="3"/>
      <c r="G36" s="3"/>
    </row>
    <row r="37" spans="1:8" ht="27.6" customHeight="1" x14ac:dyDescent="0.25">
      <c r="A37" s="97" t="s">
        <v>32</v>
      </c>
      <c r="B37" s="97"/>
      <c r="C37" s="97"/>
      <c r="D37" s="29"/>
      <c r="E37" s="6">
        <f>E11-(E32+SUM(E34:E35))</f>
        <v>309.94140000000016</v>
      </c>
      <c r="G37" s="6">
        <f t="shared" ref="G37" si="2">G11-(G32+SUM(G34:G35))</f>
        <v>737.25599999999997</v>
      </c>
    </row>
    <row r="38" spans="1:8" x14ac:dyDescent="0.25">
      <c r="E38" s="3"/>
      <c r="G38" s="3"/>
    </row>
    <row r="39" spans="1:8" ht="15.75" x14ac:dyDescent="0.25">
      <c r="A39" s="58" t="s">
        <v>30</v>
      </c>
      <c r="B39" s="59"/>
      <c r="C39" s="59"/>
      <c r="D39" s="59"/>
      <c r="E39" s="59"/>
      <c r="F39" s="59"/>
      <c r="G39" s="59"/>
    </row>
    <row r="40" spans="1:8" x14ac:dyDescent="0.25">
      <c r="A40" t="s">
        <v>31</v>
      </c>
      <c r="E40" s="3">
        <v>9.3800000000000008</v>
      </c>
      <c r="G40" s="5"/>
      <c r="H40" t="str">
        <f t="shared" ref="H40:H44" si="3">IF(G40="","",IF(OR(G40&gt;E40*(1+0.5),G40&lt;E40*(1-0.5)),"La valeur saisie diffère grandement des coûts utilisés dans le modèle. Assurez-vous qu'il ne s'agit pas d'une erreur de saisie",""))</f>
        <v/>
      </c>
    </row>
    <row r="41" spans="1:8" x14ac:dyDescent="0.25">
      <c r="A41" t="s">
        <v>33</v>
      </c>
      <c r="E41" s="3">
        <v>20.02</v>
      </c>
      <c r="G41" s="5"/>
      <c r="H41" t="str">
        <f t="shared" si="3"/>
        <v/>
      </c>
    </row>
    <row r="42" spans="1:8" x14ac:dyDescent="0.25">
      <c r="A42" t="s">
        <v>34</v>
      </c>
      <c r="E42" s="3">
        <v>10.89</v>
      </c>
      <c r="G42" s="5"/>
      <c r="H42" t="str">
        <f t="shared" si="3"/>
        <v/>
      </c>
    </row>
    <row r="43" spans="1:8" x14ac:dyDescent="0.25">
      <c r="A43" t="s">
        <v>35</v>
      </c>
      <c r="E43" s="3">
        <v>47.94</v>
      </c>
      <c r="G43" s="5"/>
      <c r="H43" t="str">
        <f t="shared" si="3"/>
        <v/>
      </c>
    </row>
    <row r="44" spans="1:8" x14ac:dyDescent="0.25">
      <c r="A44" t="s">
        <v>36</v>
      </c>
      <c r="E44" s="3">
        <v>23.52</v>
      </c>
      <c r="G44" s="8"/>
      <c r="H44" t="str">
        <f t="shared" si="3"/>
        <v/>
      </c>
    </row>
    <row r="45" spans="1:8" x14ac:dyDescent="0.25">
      <c r="B45" s="1" t="s">
        <v>27</v>
      </c>
      <c r="E45" s="6">
        <f>SUM(E40:E44)</f>
        <v>111.74999999999999</v>
      </c>
      <c r="G45" s="6">
        <f t="shared" ref="G45" si="4">SUM(G40:G44)</f>
        <v>0</v>
      </c>
    </row>
    <row r="46" spans="1:8" x14ac:dyDescent="0.25">
      <c r="E46" s="3"/>
      <c r="G46" s="3"/>
    </row>
    <row r="47" spans="1:8" ht="28.35" customHeight="1" x14ac:dyDescent="0.25">
      <c r="A47" s="97" t="s">
        <v>39</v>
      </c>
      <c r="B47" s="97"/>
      <c r="C47" s="97"/>
      <c r="D47" s="29"/>
      <c r="E47" s="6">
        <f>E37-E45</f>
        <v>198.19140000000016</v>
      </c>
      <c r="G47" s="6">
        <f>G37-G45</f>
        <v>737.25599999999997</v>
      </c>
    </row>
    <row r="48" spans="1:8" x14ac:dyDescent="0.25">
      <c r="E48" s="3"/>
      <c r="G48" s="3"/>
    </row>
    <row r="49" spans="1:8" ht="15.75" x14ac:dyDescent="0.25">
      <c r="A49" s="58" t="s">
        <v>173</v>
      </c>
      <c r="B49" s="59"/>
      <c r="C49" s="59"/>
      <c r="D49" s="59"/>
      <c r="E49" s="59"/>
      <c r="F49" s="59"/>
      <c r="G49" s="59"/>
    </row>
    <row r="50" spans="1:8" x14ac:dyDescent="0.25">
      <c r="A50" t="s">
        <v>40</v>
      </c>
      <c r="E50" s="3">
        <v>123.39</v>
      </c>
      <c r="G50" s="5"/>
      <c r="H50" t="str">
        <f t="shared" ref="H50:H52" si="5">IF(G50="","",IF(OR(G50&gt;E50*(1+0.5),G50&lt;E50*(1-0.5)),"La valeur saisie diffère grandement des coûts utilisés dans le modèle. Assurez-vous qu'il ne s'agit pas d'une erreur de saisie",""))</f>
        <v/>
      </c>
    </row>
    <row r="51" spans="1:8" x14ac:dyDescent="0.25">
      <c r="A51" t="s">
        <v>41</v>
      </c>
      <c r="E51" s="3">
        <v>103.92</v>
      </c>
      <c r="G51" s="5"/>
      <c r="H51" t="str">
        <f t="shared" si="5"/>
        <v/>
      </c>
    </row>
    <row r="52" spans="1:8" x14ac:dyDescent="0.25">
      <c r="A52" t="s">
        <v>42</v>
      </c>
      <c r="E52" s="3">
        <v>14.03</v>
      </c>
      <c r="G52" s="5"/>
      <c r="H52" t="str">
        <f t="shared" si="5"/>
        <v/>
      </c>
    </row>
    <row r="53" spans="1:8" x14ac:dyDescent="0.25">
      <c r="B53" s="1" t="s">
        <v>27</v>
      </c>
      <c r="E53" s="4">
        <f>SUM(E50:E52)</f>
        <v>241.34</v>
      </c>
      <c r="G53" s="4">
        <f t="shared" ref="G53" si="6">SUM(G50:G52)</f>
        <v>0</v>
      </c>
    </row>
    <row r="54" spans="1:8" x14ac:dyDescent="0.25">
      <c r="E54" s="3"/>
      <c r="G54" s="3"/>
    </row>
    <row r="55" spans="1:8" ht="48" customHeight="1" thickBot="1" x14ac:dyDescent="0.3">
      <c r="A55" s="97" t="s">
        <v>43</v>
      </c>
      <c r="B55" s="97"/>
      <c r="C55" s="97"/>
      <c r="D55" s="29"/>
      <c r="E55" s="9">
        <f>E47-E53</f>
        <v>-43.148599999999846</v>
      </c>
      <c r="G55" s="9">
        <f t="shared" ref="G55" si="7">G47-G53</f>
        <v>737.25599999999997</v>
      </c>
    </row>
    <row r="56" spans="1:8" ht="15.75" thickTop="1" x14ac:dyDescent="0.25"/>
  </sheetData>
  <mergeCells count="3">
    <mergeCell ref="A37:C37"/>
    <mergeCell ref="A47:C47"/>
    <mergeCell ref="A55:C55"/>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ECD1C-E77D-45EA-83B4-74583739926F}">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54" t="s">
        <v>161</v>
      </c>
      <c r="G2" s="55" t="s">
        <v>49</v>
      </c>
    </row>
    <row r="3" spans="1:8" ht="15.75" x14ac:dyDescent="0.25">
      <c r="A3" s="58" t="s">
        <v>11</v>
      </c>
      <c r="B3" s="59"/>
      <c r="C3" s="59"/>
      <c r="D3" s="59"/>
      <c r="E3" s="59"/>
      <c r="F3" s="59"/>
      <c r="G3" s="59"/>
    </row>
    <row r="4" spans="1:8" x14ac:dyDescent="0.25">
      <c r="A4" t="s">
        <v>73</v>
      </c>
      <c r="E4" s="3">
        <f>Saisies!B14*Saisies!B27</f>
        <v>1464</v>
      </c>
      <c r="G4" s="3">
        <f>IF(Saisies!C14="",Saisies!B14,Saisies!C14)*IF(Saisies!C27="",Saisies!B27,Saisies!C27)</f>
        <v>1464</v>
      </c>
      <c r="H4" t="str">
        <f>IF(G4="","",IF(OR(G4&gt;E4*(1+0.5),G4&lt;E4*(1-0.5)),"La valeur saisie diffère grandement des coûts utilisés dans le modèle. Assurez-vous qu'il ne s'agit pas d'une erreur de saisie",""))</f>
        <v/>
      </c>
    </row>
    <row r="5" spans="1:8" x14ac:dyDescent="0.25">
      <c r="A5" t="s">
        <v>10</v>
      </c>
      <c r="E5" s="3">
        <f>IF(ASRA_Calculs!$B$7&lt;ASRA_Calculs!$C$7,(ASRA_Calculs!$C$7-ASRA_Calculs!$B$7)*ASRA_Calculs!$D$7,0)</f>
        <v>0</v>
      </c>
      <c r="G5" s="3">
        <f>IF(ASRA_Calculs!$B$7&lt;ASRA_Calculs!$C$7,(ASRA_Calculs!$C$7-ASRA_Calculs!$B$7)*ASRA_Calculs!$D$7,0)</f>
        <v>0</v>
      </c>
      <c r="H5" t="str">
        <f t="shared" ref="H5:H8" si="0">IF(G5="","",IF(OR(G5&gt;E5*(1+0.5),G5&lt;E5*(1-0.5)),"La valeur saisie diffère grandement des coûts utilisés dans le modèle. Assurez-vous qu'il ne s'agit pas d'une erreur de saisie",""))</f>
        <v/>
      </c>
    </row>
    <row r="6" spans="1:8" x14ac:dyDescent="0.25">
      <c r="A6" t="s">
        <v>146</v>
      </c>
      <c r="E6" s="3">
        <v>148.97999999999999</v>
      </c>
      <c r="G6" s="5"/>
      <c r="H6" t="str">
        <f t="shared" si="0"/>
        <v/>
      </c>
    </row>
    <row r="7" spans="1:8" outlineLevel="1" x14ac:dyDescent="0.25">
      <c r="A7" s="33" t="s">
        <v>168</v>
      </c>
      <c r="E7" s="3">
        <f>(E4+E6-E15)*0.01</f>
        <v>14.473699999999999</v>
      </c>
      <c r="G7" s="3">
        <f>(G4+G6-G15)*0.01</f>
        <v>14.64</v>
      </c>
      <c r="H7" t="str">
        <f t="shared" si="0"/>
        <v/>
      </c>
    </row>
    <row r="8" spans="1:8" outlineLevel="1" x14ac:dyDescent="0.25">
      <c r="A8" s="33" t="s">
        <v>38</v>
      </c>
      <c r="E8" s="3">
        <v>56.21</v>
      </c>
      <c r="G8" s="5"/>
      <c r="H8" t="str">
        <f t="shared" si="0"/>
        <v/>
      </c>
    </row>
    <row r="9" spans="1:8" x14ac:dyDescent="0.25">
      <c r="A9" s="1" t="s">
        <v>38</v>
      </c>
      <c r="E9" s="4">
        <f>SUM(E7:E8)</f>
        <v>70.683700000000002</v>
      </c>
      <c r="G9" s="4">
        <f>SUM(G7:G8)</f>
        <v>14.64</v>
      </c>
    </row>
    <row r="10" spans="1:8" x14ac:dyDescent="0.25">
      <c r="E10" s="3"/>
      <c r="G10" s="3"/>
    </row>
    <row r="11" spans="1:8" x14ac:dyDescent="0.25">
      <c r="A11" s="1" t="s">
        <v>12</v>
      </c>
      <c r="E11" s="6">
        <f>SUM(E4:E9)</f>
        <v>1754.3474000000001</v>
      </c>
      <c r="G11" s="6">
        <f>SUM(G4:G9)</f>
        <v>1493.2800000000002</v>
      </c>
    </row>
    <row r="12" spans="1:8" x14ac:dyDescent="0.25">
      <c r="E12" s="3"/>
      <c r="G12" s="3"/>
    </row>
    <row r="13" spans="1:8" x14ac:dyDescent="0.25">
      <c r="E13" s="3"/>
      <c r="G13" s="3"/>
    </row>
    <row r="14" spans="1:8" ht="15.75" x14ac:dyDescent="0.25">
      <c r="A14" s="58" t="s">
        <v>13</v>
      </c>
      <c r="B14" s="59"/>
      <c r="C14" s="59"/>
      <c r="D14" s="59"/>
      <c r="E14" s="59"/>
      <c r="F14" s="59"/>
      <c r="G14" s="59"/>
    </row>
    <row r="15" spans="1:8" outlineLevel="1" x14ac:dyDescent="0.25">
      <c r="A15" s="33" t="s">
        <v>107</v>
      </c>
      <c r="E15" s="3">
        <v>165.61</v>
      </c>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193.93</v>
      </c>
      <c r="G16" s="5"/>
      <c r="H16" t="str">
        <f t="shared" si="1"/>
        <v/>
      </c>
    </row>
    <row r="17" spans="1:8" outlineLevel="1" x14ac:dyDescent="0.25">
      <c r="A17" s="33" t="s">
        <v>15</v>
      </c>
      <c r="E17" s="3">
        <v>4.7</v>
      </c>
      <c r="G17" s="5"/>
      <c r="H17" t="str">
        <f t="shared" si="1"/>
        <v/>
      </c>
    </row>
    <row r="18" spans="1:8" outlineLevel="1" x14ac:dyDescent="0.25">
      <c r="A18" s="33" t="s">
        <v>16</v>
      </c>
      <c r="E18" s="3">
        <v>34.130000000000003</v>
      </c>
      <c r="G18" s="8"/>
      <c r="H18" t="str">
        <f t="shared" si="1"/>
        <v/>
      </c>
    </row>
    <row r="19" spans="1:8" x14ac:dyDescent="0.25">
      <c r="A19" s="1" t="s">
        <v>149</v>
      </c>
      <c r="E19" s="4">
        <f>SUM(E15:E18)</f>
        <v>398.37</v>
      </c>
      <c r="G19" s="44">
        <f>SUM(G15:G18)</f>
        <v>0</v>
      </c>
    </row>
    <row r="20" spans="1:8" outlineLevel="1" x14ac:dyDescent="0.25">
      <c r="A20" s="33" t="s">
        <v>17</v>
      </c>
      <c r="E20" s="3">
        <v>7.55</v>
      </c>
      <c r="G20" s="5"/>
      <c r="H20" t="str">
        <f t="shared" si="1"/>
        <v/>
      </c>
    </row>
    <row r="21" spans="1:8" outlineLevel="1" x14ac:dyDescent="0.25">
      <c r="A21" s="33" t="s">
        <v>18</v>
      </c>
      <c r="E21" s="3">
        <v>37.01</v>
      </c>
      <c r="G21" s="5"/>
      <c r="H21" t="str">
        <f t="shared" si="1"/>
        <v/>
      </c>
    </row>
    <row r="22" spans="1:8" outlineLevel="1" x14ac:dyDescent="0.25">
      <c r="A22" s="33" t="s">
        <v>19</v>
      </c>
      <c r="E22" s="3">
        <v>1.1599999999999999</v>
      </c>
      <c r="G22" s="5"/>
      <c r="H22" t="str">
        <f t="shared" si="1"/>
        <v/>
      </c>
    </row>
    <row r="23" spans="1:8" outlineLevel="1" x14ac:dyDescent="0.25">
      <c r="A23" s="33" t="s">
        <v>20</v>
      </c>
      <c r="E23" s="3">
        <v>48.46</v>
      </c>
      <c r="G23" s="5"/>
      <c r="H23" t="str">
        <f t="shared" si="1"/>
        <v/>
      </c>
    </row>
    <row r="24" spans="1:8" outlineLevel="1" x14ac:dyDescent="0.25">
      <c r="A24" s="33" t="s">
        <v>21</v>
      </c>
      <c r="E24" s="3">
        <v>81.790000000000006</v>
      </c>
      <c r="G24" s="5"/>
      <c r="H24" t="str">
        <f t="shared" si="1"/>
        <v/>
      </c>
    </row>
    <row r="25" spans="1:8" outlineLevel="1" x14ac:dyDescent="0.25">
      <c r="A25" s="33" t="s">
        <v>22</v>
      </c>
      <c r="E25" s="3">
        <v>69.55</v>
      </c>
      <c r="G25" s="5"/>
      <c r="H25" t="str">
        <f t="shared" si="1"/>
        <v/>
      </c>
    </row>
    <row r="26" spans="1:8" outlineLevel="1" x14ac:dyDescent="0.25">
      <c r="A26" s="33" t="s">
        <v>23</v>
      </c>
      <c r="D26">
        <f>42.85/4</f>
        <v>10.7125</v>
      </c>
      <c r="E26" s="3">
        <v>53.49</v>
      </c>
      <c r="G26" s="8"/>
      <c r="H26" t="str">
        <f t="shared" si="1"/>
        <v/>
      </c>
    </row>
    <row r="27" spans="1:8" x14ac:dyDescent="0.25">
      <c r="A27" s="1" t="s">
        <v>152</v>
      </c>
      <c r="E27" s="4">
        <f>SUM(E20:E26)</f>
        <v>299.01</v>
      </c>
      <c r="G27" s="44">
        <f>SUM(G20:G26)</f>
        <v>0</v>
      </c>
    </row>
    <row r="28" spans="1:8" outlineLevel="1" x14ac:dyDescent="0.25">
      <c r="A28" s="33" t="s">
        <v>24</v>
      </c>
      <c r="E28" s="3">
        <v>8.4700000000000006</v>
      </c>
      <c r="G28" s="5"/>
      <c r="H28" t="str">
        <f t="shared" si="1"/>
        <v/>
      </c>
    </row>
    <row r="29" spans="1:8" outlineLevel="1" x14ac:dyDescent="0.25">
      <c r="A29" s="33" t="s">
        <v>25</v>
      </c>
      <c r="D29">
        <f>51.96/4</f>
        <v>12.99</v>
      </c>
      <c r="E29" s="3">
        <v>21.48</v>
      </c>
      <c r="G29" s="5"/>
      <c r="H29" t="str">
        <f t="shared" si="1"/>
        <v/>
      </c>
    </row>
    <row r="30" spans="1:8" outlineLevel="1" x14ac:dyDescent="0.25">
      <c r="A30" s="33" t="s">
        <v>26</v>
      </c>
      <c r="E30" s="3">
        <v>19.45</v>
      </c>
      <c r="G30" s="8"/>
      <c r="H30" t="str">
        <f t="shared" si="1"/>
        <v/>
      </c>
    </row>
    <row r="31" spans="1:8" x14ac:dyDescent="0.25">
      <c r="A31" s="1" t="s">
        <v>153</v>
      </c>
      <c r="E31" s="4">
        <f>SUM(E28:E30)</f>
        <v>49.400000000000006</v>
      </c>
      <c r="G31" s="45">
        <f>SUM(G28:G30)</f>
        <v>0</v>
      </c>
    </row>
    <row r="32" spans="1:8" x14ac:dyDescent="0.25">
      <c r="B32" s="1" t="s">
        <v>27</v>
      </c>
      <c r="E32" s="6">
        <f>E31+E27+E19</f>
        <v>746.78</v>
      </c>
      <c r="G32" s="6">
        <f>G19+G27+G31</f>
        <v>0</v>
      </c>
    </row>
    <row r="33" spans="1:8" x14ac:dyDescent="0.25">
      <c r="E33" s="3"/>
      <c r="G33" s="3"/>
    </row>
    <row r="34" spans="1:8" x14ac:dyDescent="0.25">
      <c r="A34" t="s">
        <v>28</v>
      </c>
      <c r="E34" s="3">
        <v>9.34</v>
      </c>
      <c r="G34" s="5"/>
      <c r="H34" t="str">
        <f t="shared" si="1"/>
        <v/>
      </c>
    </row>
    <row r="35" spans="1:8" x14ac:dyDescent="0.25">
      <c r="A35" t="s">
        <v>29</v>
      </c>
      <c r="E35" s="3">
        <f>27.06+9.41</f>
        <v>36.47</v>
      </c>
      <c r="G35" s="5"/>
      <c r="H35" t="str">
        <f t="shared" si="1"/>
        <v/>
      </c>
    </row>
    <row r="36" spans="1:8" x14ac:dyDescent="0.25">
      <c r="E36" s="3"/>
      <c r="G36" s="3"/>
    </row>
    <row r="37" spans="1:8" ht="27.6" customHeight="1" x14ac:dyDescent="0.25">
      <c r="A37" s="97" t="s">
        <v>32</v>
      </c>
      <c r="B37" s="97"/>
      <c r="C37" s="97"/>
      <c r="D37" s="29"/>
      <c r="E37" s="6">
        <f>E11-(E32+SUM(E34:E35))</f>
        <v>961.75740000000019</v>
      </c>
      <c r="F37" s="29"/>
      <c r="G37" s="6">
        <f>G11-(G32+SUM(G34:G35))</f>
        <v>1493.2800000000002</v>
      </c>
    </row>
    <row r="38" spans="1:8" x14ac:dyDescent="0.25">
      <c r="E38" s="3"/>
      <c r="G38" s="3"/>
    </row>
    <row r="39" spans="1:8" ht="15.75" x14ac:dyDescent="0.25">
      <c r="A39" s="58" t="s">
        <v>30</v>
      </c>
      <c r="B39" s="59"/>
      <c r="C39" s="59"/>
      <c r="D39" s="59"/>
      <c r="E39" s="59"/>
      <c r="F39" s="59"/>
      <c r="G39" s="59"/>
    </row>
    <row r="40" spans="1:8" x14ac:dyDescent="0.25">
      <c r="A40" t="s">
        <v>31</v>
      </c>
      <c r="E40" s="3">
        <v>13.01</v>
      </c>
      <c r="G40" s="5"/>
      <c r="H40" t="str">
        <f t="shared" ref="H40:H44" si="2">IF(G40="","",IF(OR(G40&gt;E40*(1+0.5),G40&lt;E40*(1-0.5)),"La valeur saisie diffère grandement des coûts utilisés dans le modèle. Assurez-vous qu'il ne s'agit pas d'une erreur de saisie",""))</f>
        <v/>
      </c>
    </row>
    <row r="41" spans="1:8" x14ac:dyDescent="0.25">
      <c r="A41" t="s">
        <v>33</v>
      </c>
      <c r="E41" s="3">
        <v>26.08</v>
      </c>
      <c r="G41" s="5"/>
      <c r="H41" t="str">
        <f t="shared" si="2"/>
        <v/>
      </c>
    </row>
    <row r="42" spans="1:8" x14ac:dyDescent="0.25">
      <c r="A42" t="s">
        <v>34</v>
      </c>
      <c r="E42" s="3">
        <v>11.88</v>
      </c>
      <c r="G42" s="5"/>
      <c r="H42" t="str">
        <f t="shared" si="2"/>
        <v/>
      </c>
    </row>
    <row r="43" spans="1:8" x14ac:dyDescent="0.25">
      <c r="A43" t="s">
        <v>35</v>
      </c>
      <c r="E43" s="3">
        <v>53.09</v>
      </c>
      <c r="G43" s="5"/>
      <c r="H43" t="str">
        <f t="shared" si="2"/>
        <v/>
      </c>
    </row>
    <row r="44" spans="1:8" x14ac:dyDescent="0.25">
      <c r="A44" t="s">
        <v>36</v>
      </c>
      <c r="E44" s="3">
        <v>36.15</v>
      </c>
      <c r="G44" s="8"/>
      <c r="H44" t="str">
        <f t="shared" si="2"/>
        <v/>
      </c>
    </row>
    <row r="45" spans="1:8" x14ac:dyDescent="0.25">
      <c r="B45" s="1" t="s">
        <v>27</v>
      </c>
      <c r="E45" s="6">
        <f>SUM(E40:E44)</f>
        <v>140.21</v>
      </c>
      <c r="G45" s="6">
        <f>SUM(G40:G44)</f>
        <v>0</v>
      </c>
    </row>
    <row r="46" spans="1:8" x14ac:dyDescent="0.25">
      <c r="E46" s="3"/>
      <c r="G46" s="3"/>
    </row>
    <row r="47" spans="1:8" ht="28.35" customHeight="1" x14ac:dyDescent="0.25">
      <c r="A47" s="97" t="s">
        <v>39</v>
      </c>
      <c r="B47" s="97"/>
      <c r="C47" s="97"/>
      <c r="D47" s="29"/>
      <c r="E47" s="6">
        <f>E37-E45</f>
        <v>821.54740000000015</v>
      </c>
      <c r="F47" s="29"/>
      <c r="G47" s="6">
        <f>G37-G45</f>
        <v>1493.2800000000002</v>
      </c>
    </row>
    <row r="48" spans="1:8" x14ac:dyDescent="0.25">
      <c r="E48" s="3"/>
      <c r="G48" s="3"/>
    </row>
    <row r="49" spans="1:8" ht="15.75" x14ac:dyDescent="0.25">
      <c r="A49" s="58" t="s">
        <v>173</v>
      </c>
      <c r="B49" s="59"/>
      <c r="C49" s="59"/>
      <c r="D49" s="59"/>
      <c r="E49" s="59"/>
      <c r="F49" s="59"/>
      <c r="G49" s="59"/>
    </row>
    <row r="50" spans="1:8" x14ac:dyDescent="0.25">
      <c r="A50" t="s">
        <v>40</v>
      </c>
      <c r="E50" s="3">
        <v>162.49</v>
      </c>
      <c r="G50" s="5"/>
      <c r="H50" t="str">
        <f t="shared" ref="H50:H52" si="3">IF(G50="","",IF(OR(G50&gt;E50*(1+0.5),G50&lt;E50*(1-0.5)),"La valeur saisie diffère grandement des coûts utilisés dans le modèle. Assurez-vous qu'il ne s'agit pas d'une erreur de saisie",""))</f>
        <v/>
      </c>
    </row>
    <row r="51" spans="1:8" x14ac:dyDescent="0.25">
      <c r="A51" t="s">
        <v>41</v>
      </c>
      <c r="E51" s="3">
        <v>152.99</v>
      </c>
      <c r="G51" s="5"/>
      <c r="H51" t="str">
        <f t="shared" si="3"/>
        <v/>
      </c>
    </row>
    <row r="52" spans="1:8" x14ac:dyDescent="0.25">
      <c r="A52" t="s">
        <v>42</v>
      </c>
      <c r="E52" s="3">
        <v>23.21</v>
      </c>
      <c r="G52" s="5"/>
      <c r="H52" t="str">
        <f t="shared" si="3"/>
        <v/>
      </c>
    </row>
    <row r="53" spans="1:8" x14ac:dyDescent="0.25">
      <c r="B53" s="1" t="s">
        <v>27</v>
      </c>
      <c r="E53" s="4">
        <f>SUM(E50:E52)</f>
        <v>338.69</v>
      </c>
      <c r="G53" s="4">
        <f>SUM(G50:G52)</f>
        <v>0</v>
      </c>
    </row>
    <row r="54" spans="1:8" x14ac:dyDescent="0.25">
      <c r="E54" s="3"/>
      <c r="G54" s="3"/>
    </row>
    <row r="55" spans="1:8" ht="48" customHeight="1" thickBot="1" x14ac:dyDescent="0.3">
      <c r="A55" s="97" t="s">
        <v>43</v>
      </c>
      <c r="B55" s="97"/>
      <c r="C55" s="97"/>
      <c r="D55" s="29"/>
      <c r="E55" s="9">
        <f>E47-E53</f>
        <v>482.85740000000015</v>
      </c>
      <c r="F55" s="29"/>
      <c r="G55" s="9">
        <f>G47-G53</f>
        <v>1493.2800000000002</v>
      </c>
    </row>
    <row r="56" spans="1:8" ht="15.75" thickTop="1" x14ac:dyDescent="0.25"/>
  </sheetData>
  <mergeCells count="3">
    <mergeCell ref="A37:C37"/>
    <mergeCell ref="A47:C47"/>
    <mergeCell ref="A55:C55"/>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3FE824-FC4D-426D-AEE9-622B5282999B}">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54" t="s">
        <v>161</v>
      </c>
      <c r="G2" s="55" t="s">
        <v>49</v>
      </c>
    </row>
    <row r="3" spans="1:8" ht="15.75" x14ac:dyDescent="0.25">
      <c r="A3" s="58" t="s">
        <v>11</v>
      </c>
      <c r="B3" s="59"/>
      <c r="C3" s="59"/>
      <c r="D3" s="59"/>
      <c r="E3" s="59"/>
      <c r="F3" s="59"/>
      <c r="G3" s="59"/>
    </row>
    <row r="4" spans="1:8" x14ac:dyDescent="0.25">
      <c r="A4" t="s">
        <v>73</v>
      </c>
      <c r="E4" s="3">
        <f>Saisies!B13*Saisies!B26</f>
        <v>1171.2</v>
      </c>
      <c r="G4" s="3">
        <f>IF(Saisies!C13="",Saisies!B13,Saisies!C13)*IF(Saisies!C26="",Saisies!B26,Saisies!C26)</f>
        <v>1171.2</v>
      </c>
      <c r="H4" t="str">
        <f>IF(G4="","",IF(OR(G4&gt;E4*(1+0.5),G4&lt;E4*(1-0.5)),"La valeur saisie diffère grandement des coûts utilisés dans le modèle. Assurez-vous qu'il ne s'agit pas d'une erreur de saisie",""))</f>
        <v/>
      </c>
    </row>
    <row r="5" spans="1:8" x14ac:dyDescent="0.25">
      <c r="A5" t="s">
        <v>10</v>
      </c>
      <c r="E5" s="3">
        <f>IF(ASRA_Calculs!$B$7&lt;ASRA_Calculs!$C$7,(ASRA_Calculs!$C$7-ASRA_Calculs!$B$7)*ASRA_Calculs!$D$7,0)</f>
        <v>0</v>
      </c>
      <c r="G5" s="3">
        <f>IF(ASRA_Calculs!$B$7&lt;ASRA_Calculs!$C$7,(ASRA_Calculs!$C$7-ASRA_Calculs!$B$7)*ASRA_Calculs!$D$7,0)</f>
        <v>0</v>
      </c>
      <c r="H5" t="str">
        <f t="shared" ref="H5:H8" si="0">IF(G5="","",IF(OR(G5&gt;E5*(1+0.5),G5&lt;E5*(1-0.5)),"La valeur saisie diffère grandement des coûts utilisés dans le modèle. Assurez-vous qu'il ne s'agit pas d'une erreur de saisie",""))</f>
        <v/>
      </c>
    </row>
    <row r="6" spans="1:8" x14ac:dyDescent="0.25">
      <c r="A6" t="s">
        <v>146</v>
      </c>
      <c r="E6" s="3">
        <v>148.97999999999999</v>
      </c>
      <c r="G6" s="5"/>
      <c r="H6" t="str">
        <f t="shared" si="0"/>
        <v/>
      </c>
    </row>
    <row r="7" spans="1:8" outlineLevel="1" x14ac:dyDescent="0.25">
      <c r="A7" s="33" t="s">
        <v>168</v>
      </c>
      <c r="E7" s="3">
        <f>(E4+E6-E15)*0.01</f>
        <v>11.4278</v>
      </c>
      <c r="G7" s="3">
        <f>(G4+G6-G15)*0.01</f>
        <v>11.712000000000002</v>
      </c>
      <c r="H7" t="str">
        <f t="shared" si="0"/>
        <v/>
      </c>
    </row>
    <row r="8" spans="1:8" outlineLevel="1" x14ac:dyDescent="0.25">
      <c r="A8" s="33" t="s">
        <v>38</v>
      </c>
      <c r="E8" s="3">
        <v>59.25</v>
      </c>
      <c r="G8" s="5"/>
      <c r="H8" t="str">
        <f t="shared" si="0"/>
        <v/>
      </c>
    </row>
    <row r="9" spans="1:8" x14ac:dyDescent="0.25">
      <c r="A9" s="1" t="s">
        <v>38</v>
      </c>
      <c r="E9" s="4">
        <f>SUM(E7:E8)</f>
        <v>70.677800000000005</v>
      </c>
      <c r="G9" s="4">
        <f>SUM(G7:G8)</f>
        <v>11.712000000000002</v>
      </c>
    </row>
    <row r="10" spans="1:8" x14ac:dyDescent="0.25">
      <c r="E10" s="3"/>
      <c r="G10" s="3"/>
    </row>
    <row r="11" spans="1:8" x14ac:dyDescent="0.25">
      <c r="A11" s="1" t="s">
        <v>12</v>
      </c>
      <c r="E11" s="6">
        <f>SUM(E4:E9)</f>
        <v>1461.5355999999999</v>
      </c>
      <c r="G11" s="6">
        <f>SUM(G4:G9)</f>
        <v>1194.624</v>
      </c>
    </row>
    <row r="12" spans="1:8" x14ac:dyDescent="0.25">
      <c r="E12" s="3"/>
      <c r="G12" s="3"/>
    </row>
    <row r="13" spans="1:8" x14ac:dyDescent="0.25">
      <c r="E13" s="3"/>
      <c r="G13" s="3"/>
    </row>
    <row r="14" spans="1:8" ht="15.75" x14ac:dyDescent="0.25">
      <c r="A14" s="58" t="s">
        <v>13</v>
      </c>
      <c r="B14" s="59"/>
      <c r="C14" s="59"/>
      <c r="D14" s="59"/>
      <c r="E14" s="59"/>
      <c r="F14" s="59"/>
      <c r="G14" s="59"/>
    </row>
    <row r="15" spans="1:8" outlineLevel="1" x14ac:dyDescent="0.25">
      <c r="A15" s="33" t="s">
        <v>107</v>
      </c>
      <c r="E15" s="3">
        <v>177.4</v>
      </c>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193.93</v>
      </c>
      <c r="G16" s="5"/>
      <c r="H16" t="str">
        <f t="shared" si="1"/>
        <v/>
      </c>
    </row>
    <row r="17" spans="1:8" outlineLevel="1" x14ac:dyDescent="0.25">
      <c r="A17" s="33" t="s">
        <v>15</v>
      </c>
      <c r="E17" s="3">
        <v>4.7</v>
      </c>
      <c r="G17" s="5"/>
      <c r="H17" t="str">
        <f t="shared" si="1"/>
        <v/>
      </c>
    </row>
    <row r="18" spans="1:8" outlineLevel="1" x14ac:dyDescent="0.25">
      <c r="A18" s="33" t="s">
        <v>16</v>
      </c>
      <c r="E18" s="3">
        <v>60.95</v>
      </c>
      <c r="G18" s="8"/>
      <c r="H18" t="str">
        <f t="shared" si="1"/>
        <v/>
      </c>
    </row>
    <row r="19" spans="1:8" x14ac:dyDescent="0.25">
      <c r="A19" s="1" t="s">
        <v>149</v>
      </c>
      <c r="E19" s="4">
        <f>SUM(E15:E18)</f>
        <v>436.98</v>
      </c>
      <c r="G19" s="44">
        <f>SUM(G15:G18)</f>
        <v>0</v>
      </c>
    </row>
    <row r="20" spans="1:8" outlineLevel="1" x14ac:dyDescent="0.25">
      <c r="A20" s="33" t="s">
        <v>17</v>
      </c>
      <c r="E20" s="3">
        <v>7.55</v>
      </c>
      <c r="G20" s="5"/>
      <c r="H20" t="str">
        <f t="shared" si="1"/>
        <v/>
      </c>
    </row>
    <row r="21" spans="1:8" outlineLevel="1" x14ac:dyDescent="0.25">
      <c r="A21" s="33" t="s">
        <v>18</v>
      </c>
      <c r="E21" s="3">
        <v>37.01</v>
      </c>
      <c r="G21" s="5"/>
      <c r="H21" t="str">
        <f t="shared" si="1"/>
        <v/>
      </c>
    </row>
    <row r="22" spans="1:8" outlineLevel="1" x14ac:dyDescent="0.25">
      <c r="A22" s="33" t="s">
        <v>19</v>
      </c>
      <c r="E22" s="3">
        <v>1.1599999999999999</v>
      </c>
      <c r="G22" s="5"/>
      <c r="H22" t="str">
        <f t="shared" si="1"/>
        <v/>
      </c>
    </row>
    <row r="23" spans="1:8" outlineLevel="1" x14ac:dyDescent="0.25">
      <c r="A23" s="33" t="s">
        <v>20</v>
      </c>
      <c r="E23" s="3">
        <v>48.46</v>
      </c>
      <c r="G23" s="5"/>
      <c r="H23" t="str">
        <f t="shared" si="1"/>
        <v/>
      </c>
    </row>
    <row r="24" spans="1:8" outlineLevel="1" x14ac:dyDescent="0.25">
      <c r="A24" s="33" t="s">
        <v>21</v>
      </c>
      <c r="E24" s="3">
        <v>81.790000000000006</v>
      </c>
      <c r="G24" s="5"/>
      <c r="H24" t="str">
        <f t="shared" si="1"/>
        <v/>
      </c>
    </row>
    <row r="25" spans="1:8" outlineLevel="1" x14ac:dyDescent="0.25">
      <c r="A25" s="33" t="s">
        <v>22</v>
      </c>
      <c r="E25" s="3">
        <v>69.55</v>
      </c>
      <c r="G25" s="5"/>
      <c r="H25" t="str">
        <f t="shared" si="1"/>
        <v/>
      </c>
    </row>
    <row r="26" spans="1:8" outlineLevel="1" x14ac:dyDescent="0.25">
      <c r="A26" s="33" t="s">
        <v>23</v>
      </c>
      <c r="D26">
        <f>42.85/3.2</f>
        <v>13.390625</v>
      </c>
      <c r="E26" s="3">
        <v>53.49</v>
      </c>
      <c r="G26" s="8"/>
      <c r="H26" t="str">
        <f t="shared" si="1"/>
        <v/>
      </c>
    </row>
    <row r="27" spans="1:8" x14ac:dyDescent="0.25">
      <c r="A27" s="1" t="s">
        <v>152</v>
      </c>
      <c r="E27" s="4">
        <f>SUM(E20:E26)</f>
        <v>299.01</v>
      </c>
      <c r="G27" s="44">
        <f>SUM(G20:G26)</f>
        <v>0</v>
      </c>
    </row>
    <row r="28" spans="1:8" outlineLevel="1" x14ac:dyDescent="0.25">
      <c r="A28" s="33" t="s">
        <v>24</v>
      </c>
      <c r="E28" s="3">
        <v>8.4700000000000006</v>
      </c>
      <c r="G28" s="5"/>
      <c r="H28" t="str">
        <f t="shared" si="1"/>
        <v/>
      </c>
    </row>
    <row r="29" spans="1:8" outlineLevel="1" x14ac:dyDescent="0.25">
      <c r="A29" s="33" t="s">
        <v>25</v>
      </c>
      <c r="D29">
        <f>51.96/3.2</f>
        <v>16.237500000000001</v>
      </c>
      <c r="E29" s="3">
        <v>21.48</v>
      </c>
      <c r="G29" s="5"/>
      <c r="H29" t="str">
        <f t="shared" si="1"/>
        <v/>
      </c>
    </row>
    <row r="30" spans="1:8" outlineLevel="1" x14ac:dyDescent="0.25">
      <c r="A30" s="33" t="s">
        <v>26</v>
      </c>
      <c r="E30" s="3">
        <v>19.45</v>
      </c>
      <c r="G30" s="8"/>
      <c r="H30" t="str">
        <f t="shared" si="1"/>
        <v/>
      </c>
    </row>
    <row r="31" spans="1:8" x14ac:dyDescent="0.25">
      <c r="A31" s="1" t="s">
        <v>153</v>
      </c>
      <c r="E31" s="4">
        <f>SUM(E28:E30)</f>
        <v>49.400000000000006</v>
      </c>
      <c r="G31" s="45">
        <f>SUM(G28:G30)</f>
        <v>0</v>
      </c>
    </row>
    <row r="32" spans="1:8" x14ac:dyDescent="0.25">
      <c r="B32" s="1" t="s">
        <v>27</v>
      </c>
      <c r="E32" s="6">
        <f>E31+E27+E19</f>
        <v>785.39</v>
      </c>
      <c r="G32" s="6">
        <f>G19+G27+G31</f>
        <v>0</v>
      </c>
    </row>
    <row r="33" spans="1:8" x14ac:dyDescent="0.25">
      <c r="E33" s="3"/>
      <c r="G33" s="3"/>
    </row>
    <row r="34" spans="1:8" x14ac:dyDescent="0.25">
      <c r="A34" t="s">
        <v>28</v>
      </c>
      <c r="E34" s="3">
        <v>9.34</v>
      </c>
      <c r="G34" s="5"/>
      <c r="H34" t="str">
        <f t="shared" si="1"/>
        <v/>
      </c>
    </row>
    <row r="35" spans="1:8" x14ac:dyDescent="0.25">
      <c r="A35" t="s">
        <v>29</v>
      </c>
      <c r="E35" s="3">
        <f>27.06+9.41</f>
        <v>36.47</v>
      </c>
      <c r="G35" s="5"/>
      <c r="H35" t="str">
        <f t="shared" si="1"/>
        <v/>
      </c>
    </row>
    <row r="36" spans="1:8" x14ac:dyDescent="0.25">
      <c r="E36" s="3"/>
      <c r="G36" s="3"/>
    </row>
    <row r="37" spans="1:8" ht="27.6" customHeight="1" x14ac:dyDescent="0.25">
      <c r="A37" s="97" t="s">
        <v>32</v>
      </c>
      <c r="B37" s="97"/>
      <c r="C37" s="97"/>
      <c r="D37" s="29"/>
      <c r="E37" s="6">
        <f>E11-(E32+SUM(E34:E35))</f>
        <v>630.33559999999989</v>
      </c>
      <c r="F37" s="29"/>
      <c r="G37" s="6">
        <f>G11-(G32+SUM(G34:G35))</f>
        <v>1194.624</v>
      </c>
    </row>
    <row r="38" spans="1:8" x14ac:dyDescent="0.25">
      <c r="E38" s="3"/>
      <c r="G38" s="3"/>
    </row>
    <row r="39" spans="1:8" ht="15.75" x14ac:dyDescent="0.25">
      <c r="A39" s="58" t="s">
        <v>30</v>
      </c>
      <c r="B39" s="59"/>
      <c r="C39" s="59"/>
      <c r="D39" s="59"/>
      <c r="E39" s="59"/>
      <c r="F39" s="59"/>
      <c r="G39" s="59"/>
    </row>
    <row r="40" spans="1:8" x14ac:dyDescent="0.25">
      <c r="A40" t="s">
        <v>31</v>
      </c>
      <c r="E40" s="3">
        <v>13.01</v>
      </c>
      <c r="G40" s="5"/>
      <c r="H40" t="str">
        <f t="shared" ref="H40:H44" si="2">IF(G40="","",IF(OR(G40&gt;E40*(1+0.5),G40&lt;E40*(1-0.5)),"La valeur saisie diffère grandement des coûts utilisés dans le modèle. Assurez-vous qu'il ne s'agit pas d'une erreur de saisie",""))</f>
        <v/>
      </c>
    </row>
    <row r="41" spans="1:8" x14ac:dyDescent="0.25">
      <c r="A41" t="s">
        <v>33</v>
      </c>
      <c r="E41" s="3">
        <v>26.08</v>
      </c>
      <c r="G41" s="5"/>
      <c r="H41" t="str">
        <f t="shared" si="2"/>
        <v/>
      </c>
    </row>
    <row r="42" spans="1:8" x14ac:dyDescent="0.25">
      <c r="A42" t="s">
        <v>34</v>
      </c>
      <c r="E42" s="3">
        <v>11.88</v>
      </c>
      <c r="G42" s="5"/>
      <c r="H42" t="str">
        <f t="shared" si="2"/>
        <v/>
      </c>
    </row>
    <row r="43" spans="1:8" x14ac:dyDescent="0.25">
      <c r="A43" t="s">
        <v>35</v>
      </c>
      <c r="E43" s="3">
        <v>53.09</v>
      </c>
      <c r="G43" s="5"/>
      <c r="H43" t="str">
        <f t="shared" si="2"/>
        <v/>
      </c>
    </row>
    <row r="44" spans="1:8" x14ac:dyDescent="0.25">
      <c r="A44" t="s">
        <v>36</v>
      </c>
      <c r="E44" s="3">
        <v>36.15</v>
      </c>
      <c r="G44" s="8"/>
      <c r="H44" t="str">
        <f t="shared" si="2"/>
        <v/>
      </c>
    </row>
    <row r="45" spans="1:8" x14ac:dyDescent="0.25">
      <c r="B45" s="1" t="s">
        <v>27</v>
      </c>
      <c r="E45" s="6">
        <f>SUM(E40:E44)</f>
        <v>140.21</v>
      </c>
      <c r="G45" s="6">
        <f>SUM(G40:G44)</f>
        <v>0</v>
      </c>
    </row>
    <row r="46" spans="1:8" x14ac:dyDescent="0.25">
      <c r="E46" s="3"/>
      <c r="G46" s="3"/>
    </row>
    <row r="47" spans="1:8" ht="28.35" customHeight="1" x14ac:dyDescent="0.25">
      <c r="A47" s="97" t="s">
        <v>39</v>
      </c>
      <c r="B47" s="97"/>
      <c r="C47" s="97"/>
      <c r="D47" s="29"/>
      <c r="E47" s="6">
        <f>E37-E45</f>
        <v>490.12559999999985</v>
      </c>
      <c r="F47" s="29"/>
      <c r="G47" s="6">
        <f>G37-G45</f>
        <v>1194.624</v>
      </c>
    </row>
    <row r="48" spans="1:8" x14ac:dyDescent="0.25">
      <c r="E48" s="3"/>
      <c r="G48" s="3"/>
    </row>
    <row r="49" spans="1:8" ht="15.75" x14ac:dyDescent="0.25">
      <c r="A49" s="58" t="s">
        <v>173</v>
      </c>
      <c r="B49" s="59"/>
      <c r="C49" s="59"/>
      <c r="D49" s="59"/>
      <c r="E49" s="59"/>
      <c r="F49" s="59"/>
      <c r="G49" s="59"/>
    </row>
    <row r="50" spans="1:8" x14ac:dyDescent="0.25">
      <c r="A50" t="s">
        <v>40</v>
      </c>
      <c r="E50" s="3">
        <v>162.49</v>
      </c>
      <c r="G50" s="5"/>
      <c r="H50" t="str">
        <f t="shared" ref="H50:H52" si="3">IF(G50="","",IF(OR(G50&gt;E50*(1+0.5),G50&lt;E50*(1-0.5)),"La valeur saisie diffère grandement des coûts utilisés dans le modèle. Assurez-vous qu'il ne s'agit pas d'une erreur de saisie",""))</f>
        <v/>
      </c>
    </row>
    <row r="51" spans="1:8" x14ac:dyDescent="0.25">
      <c r="A51" t="s">
        <v>41</v>
      </c>
      <c r="E51" s="3">
        <v>152.99</v>
      </c>
      <c r="G51" s="5"/>
      <c r="H51" t="str">
        <f t="shared" si="3"/>
        <v/>
      </c>
    </row>
    <row r="52" spans="1:8" x14ac:dyDescent="0.25">
      <c r="A52" t="s">
        <v>42</v>
      </c>
      <c r="E52" s="3">
        <v>23.21</v>
      </c>
      <c r="G52" s="5"/>
      <c r="H52" t="str">
        <f t="shared" si="3"/>
        <v/>
      </c>
    </row>
    <row r="53" spans="1:8" x14ac:dyDescent="0.25">
      <c r="B53" s="1" t="s">
        <v>27</v>
      </c>
      <c r="E53" s="4">
        <f>SUM(E50:E52)</f>
        <v>338.69</v>
      </c>
      <c r="G53" s="4">
        <f>SUM(G50:G52)</f>
        <v>0</v>
      </c>
    </row>
    <row r="54" spans="1:8" x14ac:dyDescent="0.25">
      <c r="E54" s="3"/>
      <c r="G54" s="3"/>
    </row>
    <row r="55" spans="1:8" ht="48" customHeight="1" thickBot="1" x14ac:dyDescent="0.3">
      <c r="A55" s="97" t="s">
        <v>43</v>
      </c>
      <c r="B55" s="97"/>
      <c r="C55" s="97"/>
      <c r="D55" s="29"/>
      <c r="E55" s="9">
        <f>E47-E53</f>
        <v>151.43559999999985</v>
      </c>
      <c r="F55" s="29"/>
      <c r="G55" s="9">
        <f>G47-G53</f>
        <v>1194.624</v>
      </c>
    </row>
    <row r="56" spans="1:8" ht="15.75" thickTop="1" x14ac:dyDescent="0.25"/>
  </sheetData>
  <mergeCells count="3">
    <mergeCell ref="A37:C37"/>
    <mergeCell ref="A47:C47"/>
    <mergeCell ref="A55:C5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BC5E0-9CD0-4DCA-936F-383868668FF2}">
  <sheetPr>
    <tabColor theme="5" tint="0.79998168889431442"/>
  </sheetPr>
  <dimension ref="A1:H56"/>
  <sheetViews>
    <sheetView workbookViewId="0"/>
  </sheetViews>
  <sheetFormatPr baseColWidth="10" defaultColWidth="10.85546875" defaultRowHeight="15" outlineLevelRow="1" x14ac:dyDescent="0.25"/>
  <cols>
    <col min="1" max="3" width="13.140625" customWidth="1"/>
    <col min="4" max="4" width="13.140625" hidden="1" customWidth="1"/>
    <col min="5" max="5" width="12.42578125" bestFit="1" customWidth="1"/>
    <col min="6" max="6" width="2.5703125" customWidth="1"/>
  </cols>
  <sheetData>
    <row r="1" spans="1:8" x14ac:dyDescent="0.25">
      <c r="E1" s="2" t="s">
        <v>62</v>
      </c>
      <c r="F1" s="2"/>
      <c r="G1" s="2" t="s">
        <v>62</v>
      </c>
    </row>
    <row r="2" spans="1:8" ht="15.75" x14ac:dyDescent="0.25">
      <c r="E2" s="54" t="s">
        <v>161</v>
      </c>
      <c r="G2" s="55" t="s">
        <v>49</v>
      </c>
    </row>
    <row r="3" spans="1:8" ht="15.75" x14ac:dyDescent="0.25">
      <c r="A3" s="58" t="s">
        <v>11</v>
      </c>
      <c r="B3" s="59"/>
      <c r="C3" s="59"/>
      <c r="D3" s="59"/>
      <c r="E3" s="59"/>
      <c r="F3" s="59"/>
      <c r="G3" s="59"/>
    </row>
    <row r="4" spans="1:8" x14ac:dyDescent="0.25">
      <c r="A4" t="s">
        <v>73</v>
      </c>
      <c r="E4" s="3">
        <f>Saisies!B15*Saisies!B28</f>
        <v>826.2</v>
      </c>
      <c r="G4" s="3">
        <f>IF(Saisies!C15="",Saisies!B15,Saisies!C15)*IF(Saisies!C28="",Saisies!B28,Saisies!C28)</f>
        <v>826.2</v>
      </c>
      <c r="H4" t="str">
        <f>IF(G4="","",IF(OR(G4&gt;E4*(1+0.5),G4&lt;E4*(1-0.5)),"La valeur saisie diffère grandement des coûts utilisés dans le modèle. Assurez-vous qu'il ne s'agit pas d'une erreur de saisie",""))</f>
        <v/>
      </c>
    </row>
    <row r="5" spans="1:8" x14ac:dyDescent="0.25">
      <c r="A5" t="s">
        <v>10</v>
      </c>
      <c r="E5" s="3">
        <f>IF(ASRA_Calculs!$B$9&lt;ASRA_Calculs!$C$9,(ASRA_Calculs!$C$9-ASRA_Calculs!$B$9)*ASRA_Calculs!$D$9,0)</f>
        <v>0</v>
      </c>
      <c r="G5" s="3">
        <f>IF(ASRA_Calculs!$B$9&lt;ASRA_Calculs!$C$9,(ASRA_Calculs!$C$9-ASRA_Calculs!$B$9)*ASRA_Calculs!$D$9,0)</f>
        <v>0</v>
      </c>
      <c r="H5" t="str">
        <f t="shared" ref="H5:H8" si="0">IF(G5="","",IF(OR(G5&gt;E5*(1+0.5),G5&lt;E5*(1-0.5)),"La valeur saisie diffère grandement des coûts utilisés dans le modèle. Assurez-vous qu'il ne s'agit pas d'une erreur de saisie",""))</f>
        <v/>
      </c>
    </row>
    <row r="6" spans="1:8" x14ac:dyDescent="0.25">
      <c r="A6" t="s">
        <v>146</v>
      </c>
      <c r="E6" s="3">
        <v>0</v>
      </c>
      <c r="G6" s="5"/>
      <c r="H6" t="str">
        <f t="shared" si="0"/>
        <v/>
      </c>
    </row>
    <row r="7" spans="1:8" outlineLevel="1" x14ac:dyDescent="0.25">
      <c r="A7" s="33" t="s">
        <v>168</v>
      </c>
      <c r="E7" s="3">
        <f>(E4+E6-E15)*0.042</f>
        <v>32.169480000000007</v>
      </c>
      <c r="G7" s="3">
        <f>(G4+G6-G15)*0.042</f>
        <v>34.700400000000002</v>
      </c>
      <c r="H7" t="str">
        <f t="shared" si="0"/>
        <v/>
      </c>
    </row>
    <row r="8" spans="1:8" outlineLevel="1" x14ac:dyDescent="0.25">
      <c r="A8" s="33" t="s">
        <v>38</v>
      </c>
      <c r="E8" s="3">
        <v>29.08</v>
      </c>
      <c r="G8" s="5"/>
      <c r="H8" t="str">
        <f t="shared" si="0"/>
        <v/>
      </c>
    </row>
    <row r="9" spans="1:8" x14ac:dyDescent="0.25">
      <c r="A9" s="1" t="s">
        <v>38</v>
      </c>
      <c r="E9" s="4">
        <f>SUM(E7:E8)</f>
        <v>61.249480000000005</v>
      </c>
      <c r="G9" s="4">
        <f>SUM(G7:G8)</f>
        <v>34.700400000000002</v>
      </c>
    </row>
    <row r="10" spans="1:8" x14ac:dyDescent="0.25">
      <c r="E10" s="3"/>
      <c r="G10" s="3"/>
    </row>
    <row r="11" spans="1:8" x14ac:dyDescent="0.25">
      <c r="A11" s="1" t="s">
        <v>12</v>
      </c>
      <c r="E11" s="6">
        <f>SUM(E4:E6)+E9</f>
        <v>887.44947999999999</v>
      </c>
      <c r="G11" s="6">
        <f>SUM(G4:G9)</f>
        <v>895.60079999999994</v>
      </c>
    </row>
    <row r="12" spans="1:8" x14ac:dyDescent="0.25">
      <c r="E12" s="3"/>
      <c r="G12" s="3"/>
    </row>
    <row r="13" spans="1:8" x14ac:dyDescent="0.25">
      <c r="E13" s="3"/>
      <c r="G13" s="3"/>
    </row>
    <row r="14" spans="1:8" ht="15.75" x14ac:dyDescent="0.25">
      <c r="A14" s="58" t="s">
        <v>13</v>
      </c>
      <c r="B14" s="59"/>
      <c r="C14" s="59"/>
      <c r="D14" s="59"/>
      <c r="E14" s="59"/>
      <c r="F14" s="59"/>
      <c r="G14" s="59"/>
    </row>
    <row r="15" spans="1:8" outlineLevel="1" x14ac:dyDescent="0.25">
      <c r="A15" s="33" t="s">
        <v>107</v>
      </c>
      <c r="E15" s="3">
        <v>60.26</v>
      </c>
      <c r="G15" s="5"/>
      <c r="H15" t="str">
        <f t="shared" ref="H15:H35" si="1">IF(G15="","",IF(OR(G15&gt;E15*(1+0.5),G15&lt;E15*(1-0.5)),"La valeur saisie diffère grandement des coûts utilisés dans le modèle. Assurez-vous qu'il ne s'agit pas d'une erreur de saisie",""))</f>
        <v/>
      </c>
    </row>
    <row r="16" spans="1:8" outlineLevel="1" x14ac:dyDescent="0.25">
      <c r="A16" s="33" t="s">
        <v>14</v>
      </c>
      <c r="E16" s="3">
        <v>83.04</v>
      </c>
      <c r="G16" s="5"/>
      <c r="H16" t="str">
        <f t="shared" si="1"/>
        <v/>
      </c>
    </row>
    <row r="17" spans="1:8" outlineLevel="1" x14ac:dyDescent="0.25">
      <c r="A17" s="33" t="s">
        <v>15</v>
      </c>
      <c r="E17" s="3">
        <v>0</v>
      </c>
      <c r="G17" s="5"/>
      <c r="H17" t="str">
        <f t="shared" si="1"/>
        <v/>
      </c>
    </row>
    <row r="18" spans="1:8" outlineLevel="1" x14ac:dyDescent="0.25">
      <c r="A18" s="33" t="s">
        <v>16</v>
      </c>
      <c r="E18" s="3">
        <v>0</v>
      </c>
      <c r="G18" s="8"/>
      <c r="H18" t="str">
        <f t="shared" si="1"/>
        <v/>
      </c>
    </row>
    <row r="19" spans="1:8" x14ac:dyDescent="0.25">
      <c r="A19" s="1" t="s">
        <v>149</v>
      </c>
      <c r="E19" s="4">
        <f>SUM(E15:E18)</f>
        <v>143.30000000000001</v>
      </c>
      <c r="G19" s="44">
        <f>SUM(G15:G18)</f>
        <v>0</v>
      </c>
    </row>
    <row r="20" spans="1:8" outlineLevel="1" x14ac:dyDescent="0.25">
      <c r="A20" s="33" t="s">
        <v>17</v>
      </c>
      <c r="E20" s="3">
        <v>67.88</v>
      </c>
      <c r="G20" s="5"/>
      <c r="H20" t="str">
        <f t="shared" si="1"/>
        <v/>
      </c>
    </row>
    <row r="21" spans="1:8" outlineLevel="1" x14ac:dyDescent="0.25">
      <c r="A21" s="33" t="s">
        <v>18</v>
      </c>
      <c r="E21" s="3">
        <v>0</v>
      </c>
      <c r="G21" s="5"/>
      <c r="H21" t="str">
        <f t="shared" si="1"/>
        <v/>
      </c>
    </row>
    <row r="22" spans="1:8" outlineLevel="1" x14ac:dyDescent="0.25">
      <c r="A22" s="33" t="s">
        <v>19</v>
      </c>
      <c r="E22" s="3">
        <v>0</v>
      </c>
      <c r="G22" s="5"/>
      <c r="H22" t="str">
        <f t="shared" si="1"/>
        <v/>
      </c>
    </row>
    <row r="23" spans="1:8" outlineLevel="1" x14ac:dyDescent="0.25">
      <c r="A23" s="33" t="s">
        <v>20</v>
      </c>
      <c r="E23" s="3">
        <v>0</v>
      </c>
      <c r="G23" s="5"/>
      <c r="H23" t="str">
        <f t="shared" si="1"/>
        <v/>
      </c>
    </row>
    <row r="24" spans="1:8" outlineLevel="1" x14ac:dyDescent="0.25">
      <c r="A24" s="33" t="s">
        <v>21</v>
      </c>
      <c r="E24" s="3">
        <v>70.92</v>
      </c>
      <c r="G24" s="5"/>
      <c r="H24" t="str">
        <f t="shared" si="1"/>
        <v/>
      </c>
    </row>
    <row r="25" spans="1:8" outlineLevel="1" x14ac:dyDescent="0.25">
      <c r="A25" s="33" t="s">
        <v>22</v>
      </c>
      <c r="E25" s="3">
        <v>0</v>
      </c>
      <c r="G25" s="5"/>
      <c r="H25" t="str">
        <f t="shared" si="1"/>
        <v/>
      </c>
    </row>
    <row r="26" spans="1:8" outlineLevel="1" x14ac:dyDescent="0.25">
      <c r="A26" s="33" t="s">
        <v>23</v>
      </c>
      <c r="D26">
        <f>0/1.8</f>
        <v>0</v>
      </c>
      <c r="E26" s="3">
        <v>0</v>
      </c>
      <c r="G26" s="8"/>
      <c r="H26" t="str">
        <f t="shared" si="1"/>
        <v/>
      </c>
    </row>
    <row r="27" spans="1:8" x14ac:dyDescent="0.25">
      <c r="A27" s="1" t="s">
        <v>152</v>
      </c>
      <c r="E27" s="4">
        <f>SUM(E20:E26)</f>
        <v>138.80000000000001</v>
      </c>
      <c r="G27" s="44">
        <f>SUM(G20:G26)</f>
        <v>0</v>
      </c>
    </row>
    <row r="28" spans="1:8" outlineLevel="1" x14ac:dyDescent="0.25">
      <c r="A28" s="33" t="s">
        <v>24</v>
      </c>
      <c r="E28" s="3">
        <v>35.57</v>
      </c>
      <c r="G28" s="5"/>
      <c r="H28" t="str">
        <f t="shared" si="1"/>
        <v/>
      </c>
    </row>
    <row r="29" spans="1:8" outlineLevel="1" x14ac:dyDescent="0.25">
      <c r="A29" s="33" t="s">
        <v>25</v>
      </c>
      <c r="D29">
        <f>1.55/1.8</f>
        <v>0.86111111111111116</v>
      </c>
      <c r="E29" s="3">
        <v>1.55</v>
      </c>
      <c r="G29" s="5"/>
      <c r="H29" t="str">
        <f t="shared" si="1"/>
        <v/>
      </c>
    </row>
    <row r="30" spans="1:8" outlineLevel="1" x14ac:dyDescent="0.25">
      <c r="A30" s="33" t="s">
        <v>26</v>
      </c>
      <c r="E30" s="3">
        <v>94.01</v>
      </c>
      <c r="G30" s="8"/>
      <c r="H30" t="str">
        <f t="shared" si="1"/>
        <v/>
      </c>
    </row>
    <row r="31" spans="1:8" x14ac:dyDescent="0.25">
      <c r="A31" s="1" t="s">
        <v>153</v>
      </c>
      <c r="E31" s="4">
        <f>SUM(E28:E30)</f>
        <v>131.13</v>
      </c>
      <c r="G31" s="45">
        <f>SUM(G28:G30)</f>
        <v>0</v>
      </c>
    </row>
    <row r="32" spans="1:8" x14ac:dyDescent="0.25">
      <c r="B32" s="1" t="s">
        <v>27</v>
      </c>
      <c r="E32" s="6">
        <f>E19+E27+E31</f>
        <v>413.23</v>
      </c>
      <c r="G32" s="6">
        <f>G19+G27+G31</f>
        <v>0</v>
      </c>
    </row>
    <row r="33" spans="1:8" x14ac:dyDescent="0.25">
      <c r="E33" s="3"/>
      <c r="G33" s="3"/>
    </row>
    <row r="34" spans="1:8" x14ac:dyDescent="0.25">
      <c r="A34" t="s">
        <v>28</v>
      </c>
      <c r="E34" s="3">
        <v>0</v>
      </c>
      <c r="G34" s="5"/>
      <c r="H34" t="str">
        <f t="shared" si="1"/>
        <v/>
      </c>
    </row>
    <row r="35" spans="1:8" x14ac:dyDescent="0.25">
      <c r="A35" t="s">
        <v>29</v>
      </c>
      <c r="E35" s="3">
        <v>0</v>
      </c>
      <c r="G35" s="5"/>
      <c r="H35" t="str">
        <f t="shared" si="1"/>
        <v/>
      </c>
    </row>
    <row r="36" spans="1:8" x14ac:dyDescent="0.25">
      <c r="E36" s="3"/>
      <c r="G36" s="3"/>
    </row>
    <row r="37" spans="1:8" ht="27.6" customHeight="1" x14ac:dyDescent="0.25">
      <c r="A37" s="97" t="s">
        <v>32</v>
      </c>
      <c r="B37" s="97"/>
      <c r="C37" s="97"/>
      <c r="D37" s="29"/>
      <c r="E37" s="6">
        <f>E11-(E32+SUM(E34:E35))</f>
        <v>474.21947999999998</v>
      </c>
      <c r="F37" s="29"/>
      <c r="G37" s="6">
        <f>G11-(G32+SUM(G34:G35))</f>
        <v>895.60079999999994</v>
      </c>
    </row>
    <row r="38" spans="1:8" x14ac:dyDescent="0.25">
      <c r="E38" s="3"/>
      <c r="G38" s="3"/>
    </row>
    <row r="39" spans="1:8" ht="15.75" x14ac:dyDescent="0.25">
      <c r="A39" s="58" t="s">
        <v>30</v>
      </c>
      <c r="B39" s="59"/>
      <c r="C39" s="59"/>
      <c r="D39" s="59"/>
      <c r="E39" s="59"/>
      <c r="F39" s="59"/>
      <c r="G39" s="59"/>
    </row>
    <row r="40" spans="1:8" x14ac:dyDescent="0.25">
      <c r="A40" t="s">
        <v>31</v>
      </c>
      <c r="E40" s="3">
        <v>10.55</v>
      </c>
      <c r="G40" s="5"/>
      <c r="H40" t="str">
        <f t="shared" ref="H40:H44" si="2">IF(G40="","",IF(OR(G40&gt;E40*(1+0.5),G40&lt;E40*(1-0.5)),"La valeur saisie diffère grandement des coûts utilisés dans le modèle. Assurez-vous qu'il ne s'agit pas d'une erreur de saisie",""))</f>
        <v/>
      </c>
    </row>
    <row r="41" spans="1:8" x14ac:dyDescent="0.25">
      <c r="A41" t="s">
        <v>33</v>
      </c>
      <c r="E41" s="3">
        <v>0</v>
      </c>
      <c r="G41" s="5"/>
      <c r="H41" t="str">
        <f t="shared" si="2"/>
        <v/>
      </c>
    </row>
    <row r="42" spans="1:8" x14ac:dyDescent="0.25">
      <c r="A42" t="s">
        <v>34</v>
      </c>
      <c r="E42" s="3">
        <v>0</v>
      </c>
      <c r="G42" s="5"/>
      <c r="H42" t="str">
        <f t="shared" si="2"/>
        <v/>
      </c>
    </row>
    <row r="43" spans="1:8" x14ac:dyDescent="0.25">
      <c r="A43" t="s">
        <v>35</v>
      </c>
      <c r="E43" s="3">
        <v>0</v>
      </c>
      <c r="G43" s="5"/>
      <c r="H43" t="str">
        <f t="shared" si="2"/>
        <v/>
      </c>
    </row>
    <row r="44" spans="1:8" x14ac:dyDescent="0.25">
      <c r="A44" t="s">
        <v>36</v>
      </c>
      <c r="E44" s="3">
        <v>65.8</v>
      </c>
      <c r="G44" s="8"/>
      <c r="H44" t="str">
        <f t="shared" si="2"/>
        <v/>
      </c>
    </row>
    <row r="45" spans="1:8" x14ac:dyDescent="0.25">
      <c r="B45" s="1" t="s">
        <v>27</v>
      </c>
      <c r="E45" s="6">
        <f>SUM(E40:E44)</f>
        <v>76.349999999999994</v>
      </c>
      <c r="G45" s="6">
        <f>SUM(G40:G44)</f>
        <v>0</v>
      </c>
    </row>
    <row r="46" spans="1:8" x14ac:dyDescent="0.25">
      <c r="E46" s="3"/>
      <c r="G46" s="3"/>
    </row>
    <row r="47" spans="1:8" ht="28.35" customHeight="1" x14ac:dyDescent="0.25">
      <c r="A47" s="97" t="s">
        <v>39</v>
      </c>
      <c r="B47" s="97"/>
      <c r="C47" s="97"/>
      <c r="D47" s="29"/>
      <c r="E47" s="6">
        <f>E37-E45</f>
        <v>397.86947999999995</v>
      </c>
      <c r="F47" s="29"/>
      <c r="G47" s="6">
        <f>G37-G45</f>
        <v>895.60079999999994</v>
      </c>
    </row>
    <row r="48" spans="1:8" x14ac:dyDescent="0.25">
      <c r="E48" s="3"/>
      <c r="G48" s="3"/>
    </row>
    <row r="49" spans="1:8" ht="15.75" x14ac:dyDescent="0.25">
      <c r="A49" s="58" t="s">
        <v>173</v>
      </c>
      <c r="B49" s="59"/>
      <c r="C49" s="59"/>
      <c r="D49" s="59"/>
      <c r="E49" s="59"/>
      <c r="F49" s="59"/>
      <c r="G49" s="59"/>
    </row>
    <row r="50" spans="1:8" x14ac:dyDescent="0.25">
      <c r="A50" t="s">
        <v>40</v>
      </c>
      <c r="E50" s="3">
        <v>148.03</v>
      </c>
      <c r="G50" s="5"/>
      <c r="H50" t="str">
        <f t="shared" ref="H50:H52" si="3">IF(G50="","",IF(OR(G50&gt;E50*(1+0.5),G50&lt;E50*(1-0.5)),"La valeur saisie diffère grandement des coûts utilisés dans le modèle. Assurez-vous qu'il ne s'agit pas d'une erreur de saisie",""))</f>
        <v/>
      </c>
    </row>
    <row r="51" spans="1:8" x14ac:dyDescent="0.25">
      <c r="A51" t="s">
        <v>41</v>
      </c>
      <c r="E51" s="3">
        <v>160.91999999999999</v>
      </c>
      <c r="G51" s="5"/>
      <c r="H51" t="str">
        <f t="shared" si="3"/>
        <v/>
      </c>
    </row>
    <row r="52" spans="1:8" x14ac:dyDescent="0.25">
      <c r="A52" t="s">
        <v>42</v>
      </c>
      <c r="E52" s="3">
        <v>27.22</v>
      </c>
      <c r="G52" s="5"/>
      <c r="H52" t="str">
        <f t="shared" si="3"/>
        <v/>
      </c>
    </row>
    <row r="53" spans="1:8" x14ac:dyDescent="0.25">
      <c r="B53" s="1" t="s">
        <v>27</v>
      </c>
      <c r="E53" s="4">
        <f>SUM(E50:E52)</f>
        <v>336.16999999999996</v>
      </c>
      <c r="G53" s="4">
        <f>SUM(G50:G52)</f>
        <v>0</v>
      </c>
    </row>
    <row r="54" spans="1:8" x14ac:dyDescent="0.25">
      <c r="E54" s="3"/>
      <c r="G54" s="3"/>
    </row>
    <row r="55" spans="1:8" ht="48" customHeight="1" thickBot="1" x14ac:dyDescent="0.3">
      <c r="A55" s="97" t="s">
        <v>43</v>
      </c>
      <c r="B55" s="97"/>
      <c r="C55" s="97"/>
      <c r="D55" s="29"/>
      <c r="E55" s="9">
        <f>E47-E53</f>
        <v>61.699479999999994</v>
      </c>
      <c r="F55" s="29"/>
      <c r="G55" s="9">
        <f>G47-G53</f>
        <v>895.60079999999994</v>
      </c>
    </row>
    <row r="56" spans="1:8" ht="15.75" thickTop="1" x14ac:dyDescent="0.25"/>
  </sheetData>
  <mergeCells count="3">
    <mergeCell ref="A37:C37"/>
    <mergeCell ref="A47:C47"/>
    <mergeCell ref="A55:C55"/>
  </mergeCells>
  <pageMargins left="0.7" right="0.7" top="0.75" bottom="0.75" header="0.3" footer="0.3"/>
  <legacy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F91B4F-8D87-4A82-8B18-B57D6991E1B6}">
  <dimension ref="A1:E12"/>
  <sheetViews>
    <sheetView zoomScaleNormal="100" workbookViewId="0">
      <selection sqref="A1:E1"/>
    </sheetView>
  </sheetViews>
  <sheetFormatPr baseColWidth="10" defaultColWidth="10.85546875" defaultRowHeight="15" x14ac:dyDescent="0.25"/>
  <cols>
    <col min="1" max="1" width="36.140625" customWidth="1"/>
    <col min="2" max="2" width="14.5703125" bestFit="1" customWidth="1"/>
    <col min="3" max="4" width="12" customWidth="1"/>
  </cols>
  <sheetData>
    <row r="1" spans="1:5" x14ac:dyDescent="0.25">
      <c r="A1" s="93" t="s">
        <v>129</v>
      </c>
      <c r="B1" s="93"/>
      <c r="C1" s="93"/>
      <c r="D1" s="93"/>
      <c r="E1" s="93"/>
    </row>
    <row r="2" spans="1:5" x14ac:dyDescent="0.25">
      <c r="B2" s="31" t="s">
        <v>137</v>
      </c>
      <c r="C2" s="31" t="s">
        <v>138</v>
      </c>
      <c r="D2" s="31" t="s">
        <v>126</v>
      </c>
      <c r="E2" s="31" t="s">
        <v>126</v>
      </c>
    </row>
    <row r="3" spans="1:5" x14ac:dyDescent="0.25">
      <c r="A3" t="s">
        <v>127</v>
      </c>
    </row>
    <row r="4" spans="1:5" x14ac:dyDescent="0.25">
      <c r="A4" s="33" t="s">
        <v>136</v>
      </c>
      <c r="B4">
        <v>40</v>
      </c>
      <c r="C4">
        <v>30.24</v>
      </c>
      <c r="D4">
        <f>ROUND(B4/25*C4,2)</f>
        <v>48.38</v>
      </c>
    </row>
    <row r="5" spans="1:5" x14ac:dyDescent="0.25">
      <c r="A5" s="33" t="s">
        <v>3</v>
      </c>
      <c r="B5">
        <v>20</v>
      </c>
      <c r="C5">
        <v>26.43</v>
      </c>
      <c r="D5">
        <f>ROUND(B5/25*C5,2)</f>
        <v>21.14</v>
      </c>
    </row>
    <row r="6" spans="1:5" x14ac:dyDescent="0.25">
      <c r="A6" t="s">
        <v>128</v>
      </c>
      <c r="E6">
        <f>SUM(D4:D5)</f>
        <v>69.52000000000001</v>
      </c>
    </row>
    <row r="7" spans="1:5" x14ac:dyDescent="0.25">
      <c r="A7" t="s">
        <v>139</v>
      </c>
      <c r="E7">
        <v>54.45</v>
      </c>
    </row>
    <row r="9" spans="1:5" x14ac:dyDescent="0.25">
      <c r="A9" t="s">
        <v>140</v>
      </c>
      <c r="E9">
        <f>E6+E7</f>
        <v>123.97000000000001</v>
      </c>
    </row>
    <row r="12" spans="1:5" ht="59.1" customHeight="1" x14ac:dyDescent="0.25">
      <c r="A12" s="91" t="s">
        <v>145</v>
      </c>
      <c r="B12" s="91"/>
      <c r="C12" s="91"/>
      <c r="D12" s="91"/>
      <c r="E12" s="91"/>
    </row>
  </sheetData>
  <mergeCells count="2">
    <mergeCell ref="A1:E1"/>
    <mergeCell ref="A12:E1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6B0033-4961-4677-8705-4148E3CE4ED7}">
  <dimension ref="A1:D9"/>
  <sheetViews>
    <sheetView zoomScaleNormal="100" workbookViewId="0">
      <selection activeCell="C17" sqref="C17"/>
    </sheetView>
  </sheetViews>
  <sheetFormatPr baseColWidth="10" defaultColWidth="10.85546875" defaultRowHeight="15" x14ac:dyDescent="0.25"/>
  <cols>
    <col min="1" max="1" width="23.85546875" bestFit="1" customWidth="1"/>
    <col min="2" max="2" width="19.85546875" bestFit="1" customWidth="1"/>
    <col min="3" max="3" width="13.140625" bestFit="1" customWidth="1"/>
    <col min="4" max="4" width="19.85546875" bestFit="1" customWidth="1"/>
  </cols>
  <sheetData>
    <row r="1" spans="1:4" x14ac:dyDescent="0.25">
      <c r="A1" s="1" t="s">
        <v>71</v>
      </c>
      <c r="B1" s="1" t="s">
        <v>68</v>
      </c>
      <c r="C1" s="1" t="s">
        <v>66</v>
      </c>
      <c r="D1" s="1" t="s">
        <v>67</v>
      </c>
    </row>
    <row r="2" spans="1:4" x14ac:dyDescent="0.25">
      <c r="A2" t="s">
        <v>0</v>
      </c>
      <c r="B2">
        <v>0</v>
      </c>
      <c r="C2">
        <v>0</v>
      </c>
      <c r="D2">
        <v>0</v>
      </c>
    </row>
    <row r="3" spans="1:4" x14ac:dyDescent="0.25">
      <c r="A3" t="s">
        <v>163</v>
      </c>
      <c r="B3">
        <v>480.61</v>
      </c>
      <c r="C3">
        <v>519.85</v>
      </c>
      <c r="D3">
        <v>2.12</v>
      </c>
    </row>
    <row r="4" spans="1:4" x14ac:dyDescent="0.25">
      <c r="A4" t="s">
        <v>1</v>
      </c>
      <c r="B4">
        <v>0</v>
      </c>
      <c r="C4">
        <v>0</v>
      </c>
      <c r="D4">
        <v>0</v>
      </c>
    </row>
    <row r="5" spans="1:4" x14ac:dyDescent="0.25">
      <c r="A5" t="s">
        <v>2</v>
      </c>
      <c r="B5">
        <v>240.5</v>
      </c>
      <c r="C5">
        <v>240.12</v>
      </c>
      <c r="D5">
        <v>3.21</v>
      </c>
    </row>
    <row r="6" spans="1:4" x14ac:dyDescent="0.25">
      <c r="A6" t="s">
        <v>3</v>
      </c>
      <c r="B6">
        <v>272.29000000000002</v>
      </c>
      <c r="C6">
        <v>243.64</v>
      </c>
      <c r="D6">
        <v>2.8</v>
      </c>
    </row>
    <row r="7" spans="1:4" x14ac:dyDescent="0.25">
      <c r="A7" t="s">
        <v>69</v>
      </c>
      <c r="B7">
        <v>277.08999999999997</v>
      </c>
      <c r="C7">
        <v>276.01</v>
      </c>
      <c r="D7">
        <v>3.73</v>
      </c>
    </row>
    <row r="8" spans="1:4" x14ac:dyDescent="0.25">
      <c r="A8" t="s">
        <v>70</v>
      </c>
      <c r="B8">
        <v>257.52999999999997</v>
      </c>
      <c r="C8">
        <v>283.10000000000002</v>
      </c>
      <c r="D8">
        <v>3.56</v>
      </c>
    </row>
    <row r="9" spans="1:4" x14ac:dyDescent="0.25">
      <c r="A9" t="s">
        <v>169</v>
      </c>
      <c r="B9">
        <v>0</v>
      </c>
      <c r="C9">
        <v>0</v>
      </c>
      <c r="D9">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E36199-A450-459E-A28B-EF856DFAB310}">
  <dimension ref="A1:B12"/>
  <sheetViews>
    <sheetView zoomScaleNormal="100" workbookViewId="0">
      <selection sqref="A1:B1"/>
    </sheetView>
  </sheetViews>
  <sheetFormatPr baseColWidth="10" defaultColWidth="10.85546875" defaultRowHeight="15" x14ac:dyDescent="0.25"/>
  <cols>
    <col min="1" max="1" width="17.85546875" customWidth="1"/>
    <col min="2" max="2" width="29.85546875" customWidth="1"/>
  </cols>
  <sheetData>
    <row r="1" spans="1:2" x14ac:dyDescent="0.25">
      <c r="A1" s="93" t="s">
        <v>44</v>
      </c>
      <c r="B1" s="93"/>
    </row>
    <row r="2" spans="1:2" x14ac:dyDescent="0.25">
      <c r="B2" s="2" t="s">
        <v>162</v>
      </c>
    </row>
    <row r="3" spans="1:2" x14ac:dyDescent="0.25">
      <c r="A3" t="s">
        <v>0</v>
      </c>
      <c r="B3">
        <f>ROUND((6.954+6.9+7.437)/3,1)</f>
        <v>7.1</v>
      </c>
    </row>
    <row r="4" spans="1:2" x14ac:dyDescent="0.25">
      <c r="A4" t="s">
        <v>163</v>
      </c>
      <c r="B4">
        <v>2.2999999999999998</v>
      </c>
    </row>
    <row r="5" spans="1:2" x14ac:dyDescent="0.25">
      <c r="A5" t="s">
        <v>1</v>
      </c>
      <c r="B5">
        <f>ROUND(3.65*0.75,1)</f>
        <v>2.7</v>
      </c>
    </row>
    <row r="6" spans="1:2" x14ac:dyDescent="0.25">
      <c r="A6" t="s">
        <v>2</v>
      </c>
      <c r="B6">
        <v>3.3</v>
      </c>
    </row>
    <row r="7" spans="1:2" x14ac:dyDescent="0.25">
      <c r="A7" t="s">
        <v>3</v>
      </c>
      <c r="B7">
        <v>2.6</v>
      </c>
    </row>
    <row r="8" spans="1:2" x14ac:dyDescent="0.25">
      <c r="A8" t="s">
        <v>46</v>
      </c>
      <c r="B8">
        <f>ROUND(B9*1.25,1)</f>
        <v>4</v>
      </c>
    </row>
    <row r="9" spans="1:2" x14ac:dyDescent="0.25">
      <c r="A9" t="s">
        <v>47</v>
      </c>
      <c r="B9">
        <v>3.2</v>
      </c>
    </row>
    <row r="10" spans="1:2" x14ac:dyDescent="0.25">
      <c r="A10" t="s">
        <v>169</v>
      </c>
      <c r="B10" s="43">
        <v>1.8</v>
      </c>
    </row>
    <row r="12" spans="1:2" x14ac:dyDescent="0.25">
      <c r="A12" s="1" t="s">
        <v>51</v>
      </c>
      <c r="B12" t="str">
        <f>Saisies!B1&amp;" "&amp;Saisies!B2</f>
        <v>Périphérique Conventionnelle</v>
      </c>
    </row>
  </sheetData>
  <mergeCells count="1">
    <mergeCell ref="A1:B1"/>
  </mergeCells>
  <pageMargins left="0.7" right="0.7" top="0.75" bottom="0.75" header="0.3" footer="0.3"/>
  <legacy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78EEC-E432-4E98-A6F6-E843FCD512EB}">
  <dimension ref="A1:B12"/>
  <sheetViews>
    <sheetView workbookViewId="0">
      <selection sqref="A1:B1"/>
    </sheetView>
  </sheetViews>
  <sheetFormatPr baseColWidth="10" defaultColWidth="10.85546875" defaultRowHeight="15" x14ac:dyDescent="0.25"/>
  <cols>
    <col min="1" max="1" width="17.42578125" customWidth="1"/>
    <col min="2" max="2" width="22.42578125" bestFit="1" customWidth="1"/>
  </cols>
  <sheetData>
    <row r="1" spans="1:2" x14ac:dyDescent="0.25">
      <c r="A1" s="93" t="s">
        <v>45</v>
      </c>
      <c r="B1" s="93"/>
    </row>
    <row r="2" spans="1:2" x14ac:dyDescent="0.25">
      <c r="B2" s="2" t="s">
        <v>162</v>
      </c>
    </row>
    <row r="3" spans="1:2" x14ac:dyDescent="0.25">
      <c r="A3" t="s">
        <v>0</v>
      </c>
      <c r="B3" s="3">
        <v>341</v>
      </c>
    </row>
    <row r="4" spans="1:2" x14ac:dyDescent="0.25">
      <c r="A4" t="s">
        <v>163</v>
      </c>
      <c r="B4" s="3">
        <v>681</v>
      </c>
    </row>
    <row r="5" spans="1:2" x14ac:dyDescent="0.25">
      <c r="A5" t="s">
        <v>1</v>
      </c>
      <c r="B5" s="3">
        <v>580</v>
      </c>
    </row>
    <row r="6" spans="1:2" x14ac:dyDescent="0.25">
      <c r="A6" t="s">
        <v>2</v>
      </c>
      <c r="B6" s="3">
        <v>275</v>
      </c>
    </row>
    <row r="7" spans="1:2" x14ac:dyDescent="0.25">
      <c r="A7" t="s">
        <v>3</v>
      </c>
      <c r="B7" s="3">
        <v>278</v>
      </c>
    </row>
    <row r="8" spans="1:2" x14ac:dyDescent="0.25">
      <c r="A8" t="s">
        <v>46</v>
      </c>
      <c r="B8" s="3">
        <v>366</v>
      </c>
    </row>
    <row r="9" spans="1:2" x14ac:dyDescent="0.25">
      <c r="A9" t="s">
        <v>47</v>
      </c>
      <c r="B9" s="3">
        <v>366</v>
      </c>
    </row>
    <row r="10" spans="1:2" x14ac:dyDescent="0.25">
      <c r="A10" t="s">
        <v>169</v>
      </c>
      <c r="B10" s="3">
        <v>459</v>
      </c>
    </row>
    <row r="12" spans="1:2" x14ac:dyDescent="0.25">
      <c r="A12" s="1" t="s">
        <v>52</v>
      </c>
      <c r="B12" t="str">
        <f>Saisies!B1&amp;" "&amp;Saisies!B2</f>
        <v>Périphérique Conventionnelle</v>
      </c>
    </row>
  </sheetData>
  <mergeCells count="1">
    <mergeCell ref="A1:B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39D80-73E6-4C99-9475-E2E6B7935F86}">
  <dimension ref="A1:BV52"/>
  <sheetViews>
    <sheetView workbookViewId="0"/>
  </sheetViews>
  <sheetFormatPr baseColWidth="10" defaultColWidth="10.85546875" defaultRowHeight="15" x14ac:dyDescent="0.25"/>
  <cols>
    <col min="1" max="3" width="13.140625" customWidth="1"/>
    <col min="4" max="5" width="11.5703125" customWidth="1"/>
    <col min="6" max="6" width="2.5703125" customWidth="1"/>
    <col min="7" max="8" width="11.5703125" customWidth="1"/>
    <col min="9" max="9" width="2.5703125" customWidth="1"/>
    <col min="10" max="11" width="11.5703125" customWidth="1"/>
    <col min="12" max="12" width="2.5703125" customWidth="1"/>
    <col min="13" max="14" width="11.5703125" customWidth="1"/>
    <col min="15" max="15" width="2.5703125" customWidth="1"/>
    <col min="16" max="17" width="11.5703125" customWidth="1"/>
    <col min="18" max="18" width="2.5703125" customWidth="1"/>
    <col min="19" max="20" width="11.5703125" customWidth="1"/>
    <col min="21" max="21" width="2.5703125" customWidth="1"/>
    <col min="22" max="23" width="11.5703125" customWidth="1"/>
    <col min="24" max="24" width="2.5703125" customWidth="1"/>
    <col min="25" max="26" width="11.5703125" customWidth="1"/>
    <col min="27" max="27" width="2.5703125" customWidth="1"/>
    <col min="30" max="30" width="2.5703125" customWidth="1"/>
    <col min="33" max="33" width="2.5703125" customWidth="1"/>
    <col min="36" max="36" width="2.5703125" customWidth="1"/>
    <col min="39" max="39" width="2.5703125" customWidth="1"/>
    <col min="42" max="42" width="2.5703125" customWidth="1"/>
    <col min="45" max="45" width="2.5703125" customWidth="1"/>
    <col min="48" max="48" width="2.5703125" customWidth="1"/>
    <col min="49" max="50" width="11.5703125" customWidth="1"/>
    <col min="51" max="51" width="2.5703125" customWidth="1"/>
    <col min="54" max="54" width="2.5703125" customWidth="1"/>
    <col min="57" max="57" width="2.5703125" customWidth="1"/>
    <col min="60" max="60" width="2.5703125" customWidth="1"/>
    <col min="63" max="63" width="2.5703125" customWidth="1"/>
    <col min="66" max="66" width="2.5703125" customWidth="1"/>
    <col min="69" max="69" width="2.5703125" customWidth="1"/>
    <col min="72" max="72" width="2.5703125" customWidth="1"/>
  </cols>
  <sheetData>
    <row r="1" spans="1:74" x14ac:dyDescent="0.25">
      <c r="D1" s="93" t="s">
        <v>142</v>
      </c>
      <c r="E1" s="93"/>
      <c r="F1" s="93"/>
      <c r="G1" s="93"/>
      <c r="H1" s="93"/>
      <c r="I1" s="93"/>
      <c r="J1" s="93"/>
      <c r="K1" s="93"/>
      <c r="L1" s="93"/>
      <c r="M1" s="93"/>
      <c r="N1" s="93"/>
      <c r="O1" s="93"/>
      <c r="P1" s="93"/>
      <c r="Q1" s="93"/>
      <c r="R1" s="93"/>
      <c r="S1" s="93"/>
      <c r="T1" s="93"/>
      <c r="U1" s="93"/>
      <c r="V1" s="93"/>
      <c r="W1" s="93"/>
      <c r="X1" s="93"/>
      <c r="Y1" s="93"/>
      <c r="Z1" s="99"/>
      <c r="AA1" s="42"/>
      <c r="AB1" s="98" t="s">
        <v>143</v>
      </c>
      <c r="AC1" s="93"/>
      <c r="AD1" s="93"/>
      <c r="AE1" s="93"/>
      <c r="AF1" s="93"/>
      <c r="AG1" s="93"/>
      <c r="AH1" s="93"/>
      <c r="AI1" s="93"/>
      <c r="AJ1" s="93"/>
      <c r="AK1" s="93"/>
      <c r="AL1" s="93"/>
      <c r="AM1" s="93"/>
      <c r="AN1" s="93"/>
      <c r="AO1" s="93"/>
      <c r="AP1" s="93"/>
      <c r="AQ1" s="93"/>
      <c r="AR1" s="93"/>
      <c r="AS1" s="93"/>
      <c r="AT1" s="93"/>
      <c r="AU1" s="93"/>
      <c r="AV1" s="93"/>
      <c r="AW1" s="93"/>
      <c r="AX1" s="99"/>
      <c r="AY1" s="42"/>
      <c r="AZ1" s="98" t="s">
        <v>148</v>
      </c>
      <c r="BA1" s="93"/>
      <c r="BB1" s="93"/>
      <c r="BC1" s="93"/>
      <c r="BD1" s="93"/>
      <c r="BE1" s="93"/>
      <c r="BF1" s="93"/>
      <c r="BG1" s="93"/>
      <c r="BH1" s="93"/>
      <c r="BI1" s="93"/>
      <c r="BJ1" s="93"/>
      <c r="BK1" s="93"/>
      <c r="BL1" s="93"/>
      <c r="BM1" s="93"/>
      <c r="BN1" s="93"/>
      <c r="BO1" s="93"/>
      <c r="BP1" s="93"/>
      <c r="BQ1" s="93"/>
      <c r="BR1" s="93"/>
      <c r="BS1" s="93"/>
      <c r="BT1" s="93"/>
      <c r="BU1" s="93"/>
      <c r="BV1" s="93"/>
    </row>
    <row r="2" spans="1:74" x14ac:dyDescent="0.25">
      <c r="D2" s="2" t="s">
        <v>161</v>
      </c>
      <c r="E2" s="2" t="s">
        <v>72</v>
      </c>
      <c r="G2" s="2" t="str">
        <f>Saisies!B1</f>
        <v>Périphérique</v>
      </c>
      <c r="H2" s="2" t="s">
        <v>72</v>
      </c>
      <c r="J2" s="2" t="str">
        <f>G2</f>
        <v>Périphérique</v>
      </c>
      <c r="K2" s="2" t="s">
        <v>72</v>
      </c>
      <c r="M2" s="2" t="str">
        <f>J2</f>
        <v>Périphérique</v>
      </c>
      <c r="N2" s="2" t="s">
        <v>72</v>
      </c>
      <c r="P2" s="2" t="str">
        <f>M2</f>
        <v>Périphérique</v>
      </c>
      <c r="Q2" s="2" t="s">
        <v>72</v>
      </c>
      <c r="S2" s="2" t="str">
        <f>P2</f>
        <v>Périphérique</v>
      </c>
      <c r="T2" s="2" t="s">
        <v>72</v>
      </c>
      <c r="V2" s="2" t="str">
        <f>S2</f>
        <v>Périphérique</v>
      </c>
      <c r="W2" s="2" t="s">
        <v>72</v>
      </c>
      <c r="Y2" s="2" t="s">
        <v>161</v>
      </c>
      <c r="Z2" s="2" t="s">
        <v>72</v>
      </c>
      <c r="AA2" s="42"/>
      <c r="AB2" s="34" t="s">
        <v>161</v>
      </c>
      <c r="AC2" s="2" t="s">
        <v>72</v>
      </c>
      <c r="AE2" s="2" t="str">
        <f>G2</f>
        <v>Périphérique</v>
      </c>
      <c r="AF2" s="2" t="s">
        <v>72</v>
      </c>
      <c r="AH2" s="2" t="str">
        <f>AE2</f>
        <v>Périphérique</v>
      </c>
      <c r="AI2" s="2" t="s">
        <v>72</v>
      </c>
      <c r="AK2" s="2" t="str">
        <f>AH2</f>
        <v>Périphérique</v>
      </c>
      <c r="AL2" s="2" t="s">
        <v>72</v>
      </c>
      <c r="AN2" s="2" t="str">
        <f>AK2</f>
        <v>Périphérique</v>
      </c>
      <c r="AO2" s="2" t="s">
        <v>72</v>
      </c>
      <c r="AQ2" s="2" t="str">
        <f>AN2</f>
        <v>Périphérique</v>
      </c>
      <c r="AR2" s="2" t="s">
        <v>72</v>
      </c>
      <c r="AT2" s="2" t="str">
        <f>AQ2</f>
        <v>Périphérique</v>
      </c>
      <c r="AU2" s="2" t="s">
        <v>72</v>
      </c>
      <c r="AW2" s="2" t="s">
        <v>161</v>
      </c>
      <c r="AX2" s="2" t="s">
        <v>72</v>
      </c>
      <c r="AY2" s="42"/>
      <c r="AZ2" s="34" t="s">
        <v>161</v>
      </c>
      <c r="BA2" s="2" t="s">
        <v>72</v>
      </c>
      <c r="BC2" s="2" t="str">
        <f>AE2</f>
        <v>Périphérique</v>
      </c>
      <c r="BD2" s="2" t="s">
        <v>72</v>
      </c>
      <c r="BF2" s="2" t="str">
        <f>BC2</f>
        <v>Périphérique</v>
      </c>
      <c r="BG2" s="2" t="s">
        <v>72</v>
      </c>
      <c r="BI2" s="2" t="str">
        <f>BF2</f>
        <v>Périphérique</v>
      </c>
      <c r="BJ2" s="2" t="s">
        <v>72</v>
      </c>
      <c r="BL2" s="2" t="str">
        <f>BI2</f>
        <v>Périphérique</v>
      </c>
      <c r="BM2" s="2" t="s">
        <v>72</v>
      </c>
      <c r="BO2" s="2" t="str">
        <f>BL2</f>
        <v>Périphérique</v>
      </c>
      <c r="BP2" s="2" t="s">
        <v>72</v>
      </c>
      <c r="BR2" s="2" t="str">
        <f>BO2</f>
        <v>Périphérique</v>
      </c>
      <c r="BS2" s="2" t="s">
        <v>72</v>
      </c>
      <c r="BU2" s="2" t="s">
        <v>161</v>
      </c>
      <c r="BV2" s="2" t="s">
        <v>72</v>
      </c>
    </row>
    <row r="3" spans="1:74" ht="15.75" x14ac:dyDescent="0.25">
      <c r="D3" s="26" t="s">
        <v>0</v>
      </c>
      <c r="E3" s="25" t="s">
        <v>0</v>
      </c>
      <c r="G3" s="26" t="s">
        <v>163</v>
      </c>
      <c r="H3" s="25" t="s">
        <v>163</v>
      </c>
      <c r="J3" s="26" t="s">
        <v>1</v>
      </c>
      <c r="K3" s="25" t="s">
        <v>1</v>
      </c>
      <c r="M3" s="26" t="s">
        <v>2</v>
      </c>
      <c r="N3" s="25" t="s">
        <v>2</v>
      </c>
      <c r="P3" s="26" t="s">
        <v>3</v>
      </c>
      <c r="Q3" s="25" t="s">
        <v>3</v>
      </c>
      <c r="S3" s="26" t="s">
        <v>46</v>
      </c>
      <c r="T3" s="25" t="str">
        <f>S3</f>
        <v>Blé d'automne</v>
      </c>
      <c r="V3" s="26" t="s">
        <v>47</v>
      </c>
      <c r="W3" s="25" t="s">
        <v>47</v>
      </c>
      <c r="Y3" s="26" t="s">
        <v>169</v>
      </c>
      <c r="Z3" s="25" t="s">
        <v>169</v>
      </c>
      <c r="AA3" s="42"/>
      <c r="AB3" s="35" t="s">
        <v>0</v>
      </c>
      <c r="AC3" s="25" t="s">
        <v>0</v>
      </c>
      <c r="AE3" s="26" t="s">
        <v>163</v>
      </c>
      <c r="AF3" s="25" t="s">
        <v>163</v>
      </c>
      <c r="AH3" s="26" t="s">
        <v>1</v>
      </c>
      <c r="AI3" s="25" t="s">
        <v>1</v>
      </c>
      <c r="AK3" s="26" t="s">
        <v>2</v>
      </c>
      <c r="AL3" s="25" t="s">
        <v>2</v>
      </c>
      <c r="AN3" s="26" t="s">
        <v>3</v>
      </c>
      <c r="AO3" s="25" t="s">
        <v>3</v>
      </c>
      <c r="AQ3" s="26" t="s">
        <v>46</v>
      </c>
      <c r="AR3" s="25" t="str">
        <f>AQ3</f>
        <v>Blé d'automne</v>
      </c>
      <c r="AT3" s="26" t="s">
        <v>47</v>
      </c>
      <c r="AU3" s="25" t="s">
        <v>47</v>
      </c>
      <c r="AW3" s="26" t="s">
        <v>169</v>
      </c>
      <c r="AX3" s="25" t="s">
        <v>169</v>
      </c>
      <c r="AY3" s="42"/>
      <c r="AZ3" s="35" t="s">
        <v>0</v>
      </c>
      <c r="BA3" s="25" t="s">
        <v>0</v>
      </c>
      <c r="BC3" s="26" t="s">
        <v>163</v>
      </c>
      <c r="BD3" s="25" t="s">
        <v>163</v>
      </c>
      <c r="BF3" s="26" t="s">
        <v>1</v>
      </c>
      <c r="BG3" s="25" t="s">
        <v>1</v>
      </c>
      <c r="BI3" s="26" t="s">
        <v>2</v>
      </c>
      <c r="BJ3" s="25" t="s">
        <v>2</v>
      </c>
      <c r="BL3" s="26" t="s">
        <v>3</v>
      </c>
      <c r="BM3" s="25" t="s">
        <v>3</v>
      </c>
      <c r="BO3" s="26" t="s">
        <v>46</v>
      </c>
      <c r="BP3" s="25" t="str">
        <f>BO3</f>
        <v>Blé d'automne</v>
      </c>
      <c r="BR3" s="26" t="s">
        <v>47</v>
      </c>
      <c r="BS3" s="25" t="s">
        <v>47</v>
      </c>
      <c r="BU3" s="26" t="s">
        <v>169</v>
      </c>
      <c r="BV3" s="25" t="s">
        <v>169</v>
      </c>
    </row>
    <row r="4" spans="1:74" x14ac:dyDescent="0.25">
      <c r="A4" s="1" t="s">
        <v>11</v>
      </c>
      <c r="AA4" s="42"/>
      <c r="AB4" s="36"/>
      <c r="AY4" s="42"/>
      <c r="AZ4" s="36"/>
    </row>
    <row r="5" spans="1:74" x14ac:dyDescent="0.25">
      <c r="A5" t="s">
        <v>73</v>
      </c>
      <c r="D5" s="3">
        <f>'Maïs-grain'!E5*(1+Saisies!B39*Saisies!B59)</f>
        <v>2421.1</v>
      </c>
      <c r="E5" s="3">
        <f>IF('Maïs-grain'!G5="",'Intermédiaire_Prod-Résultats'!D5,'Maïs-grain'!G5)*(1+IF(Saisies!C39="",Saisies!B39,Saisies!C39)*IF(Saisies!C59="",Saisies!B59,Saisies!C59))</f>
        <v>2421.1</v>
      </c>
      <c r="G5" s="3">
        <f>Canola!E4*(1+Saisies!B40*Saisies!B59)</f>
        <v>1566.3</v>
      </c>
      <c r="H5" s="3">
        <f>IF(Canola!G4="",'Intermédiaire_Prod-Résultats'!G5,Canola!G4)*(1+IF(Saisies!C40="",Saisies!B40,Saisies!C40)*IF(Saisies!C59="",Saisies!B59,Saisies!C59))</f>
        <v>1566.3</v>
      </c>
      <c r="J5" s="3">
        <f>Soya!E4*(1+Saisies!B41*Saisies!B59)</f>
        <v>1566</v>
      </c>
      <c r="K5" s="3">
        <f>IF(Soya!G4="",'Intermédiaire_Prod-Résultats'!J5,Soya!G4)*(1+IF(Saisies!C41="",Saisies!B41,Saisies!C41)*IF(Saisies!C59="",Saisies!B59,Saisies!C59))</f>
        <v>1566</v>
      </c>
      <c r="M5" s="3">
        <f>Orge!E4*(1+Saisies!B42*Saisies!B59)</f>
        <v>907.5</v>
      </c>
      <c r="N5" s="3">
        <f>IF(Orge!G4="",'Intermédiaire_Prod-Résultats'!M5,Orge!G4)*(1+IF(Saisies!C42="",Saisies!B42,Saisies!C42)*IF(Saisies!C59="",Saisies!B59,Saisies!C59))</f>
        <v>907.5</v>
      </c>
      <c r="P5" s="3">
        <f>Avoine!E4*(1+Saisies!B43*Saisies!B59)</f>
        <v>722.80000000000007</v>
      </c>
      <c r="Q5" s="3">
        <f>IF(Avoine!G4="",'Intermédiaire_Prod-Résultats'!P5,Avoine!G4)*(1+IF(Saisies!C43="",Saisies!B43,Saisies!C43)*IF(Saisies!C59="",Saisies!B59,Saisies!C59))</f>
        <v>722.80000000000007</v>
      </c>
      <c r="S5" s="3">
        <f>'Blé_d''automne'!E4*(1+Saisies!B45*Saisies!B59)</f>
        <v>1464</v>
      </c>
      <c r="T5" s="3">
        <f>IF('Blé_d''automne'!G4="",'Intermédiaire_Prod-Résultats'!S5,'Blé_d''automne'!G4)*(1+IF(Saisies!C45="",Saisies!B45,Saisies!C45)*IF(Saisies!C59="",Saisies!B59,Saisies!C59))</f>
        <v>1464</v>
      </c>
      <c r="V5" s="3">
        <f>Blé_printemps!E4*(1+Saisies!B44*Saisies!B59)</f>
        <v>1171.2</v>
      </c>
      <c r="W5" s="3">
        <f>IF(Blé_printemps!G4="",'Intermédiaire_Prod-Résultats'!V5,Blé_printemps!G4)*(1+IF(Saisies!C44="",Saisies!B44,Saisies!C44)*IF(Saisies!C59="",Saisies!B59,Saisies!C59))</f>
        <v>1171.2</v>
      </c>
      <c r="Y5" s="3">
        <f>Sarrasin!E4*(1+Saisies!B46*Saisies!B59)</f>
        <v>826.2</v>
      </c>
      <c r="Z5" s="3">
        <f>IF(Sarrasin!G4="",'Intermédiaire_Prod-Résultats'!Y5,Sarrasin!G4)*(1+IF(Saisies!C46="",Saisies!B46,Saisies!C46)*IF(Saisies!C59="",Saisies!B59,Saisies!C59))</f>
        <v>826.2</v>
      </c>
      <c r="AA5" s="42"/>
      <c r="AB5" s="37">
        <f>'Maïs-grain'!E5*(1+Saisies!B39*Saisies!B60)</f>
        <v>2554.2604999999999</v>
      </c>
      <c r="AC5" s="3">
        <f>IF('Maïs-grain'!G5="",IF(Saisies!C8="",Saisies!B8,Saisies!C8)*IF(Saisies!C21="",Saisies!B21,Saisies!C21),'Maïs-grain'!G5)*(1+IF(Saisies!C39="",Saisies!B39,Saisies!C39)*IF(Saisies!C60="",Saisies!B60,Saisies!C60))</f>
        <v>2554.2604999999999</v>
      </c>
      <c r="AE5" s="3">
        <f>Canola!E4*(1+Saisies!B40*Saisies!B60)</f>
        <v>1566.3</v>
      </c>
      <c r="AF5" s="3">
        <f>IF(Canola!G4="",IF(Saisies!C9="",Saisies!B9,Saisies!C9)*IF(Saisies!C22="",Saisies!B22,Saisies!C22),Canola!G4)*(1+IF(Saisies!C40="",Saisies!B40,Saisies!C40)*IF(Saisies!C60="",Saisies!B60,Saisies!C60))</f>
        <v>1566.3</v>
      </c>
      <c r="AH5" s="3">
        <f>Soya!E4*(1+Saisies!B41*Saisies!B60)</f>
        <v>1566</v>
      </c>
      <c r="AI5" s="3">
        <f>IF(Soya!G4="",IF(Saisies!C10="",Saisies!B10,Saisies!C10)*IF(Saisies!C23="",Saisies!B23,Saisies!C23),Soya!G4)*(1+IF(Saisies!C41="",Saisies!B41,Saisies!C41)*IF(Saisies!C60="",Saisies!B60,Saisies!C60))</f>
        <v>1566</v>
      </c>
      <c r="AK5" s="3">
        <f>Orge!E4*(1+Saisies!B42*Saisies!B60)</f>
        <v>957.41249999999991</v>
      </c>
      <c r="AL5" s="3">
        <f>IF(Orge!G4="",IF(Saisies!C11="",Saisies!B11,Saisies!C11)*IF(Saisies!C24="",Saisies!B24,Saisies!C24),Orge!G4)*(1+IF(Saisies!C42="",Saisies!B42,Saisies!C42)*IF(Saisies!C60="",Saisies!B60,Saisies!C60))</f>
        <v>957.41249999999991</v>
      </c>
      <c r="AN5" s="3">
        <f>Avoine!E4*(1+Saisies!B43*Saisies!B60)</f>
        <v>762.55399999999997</v>
      </c>
      <c r="AO5" s="3">
        <f>IF(Avoine!G4="",IF(Saisies!C12="",Saisies!B12,Saisies!C12)*IF(Saisies!C25="",Saisies!B25,Saisies!C25),Avoine!G4)*(1+IF(Saisies!C43="",Saisies!B43,Saisies!C43)*IF(Saisies!C60="",Saisies!B60,Saisies!C60))</f>
        <v>762.55399999999997</v>
      </c>
      <c r="AQ5" s="3">
        <f>'Blé_d''automne'!E4*(1+Saisies!B45*Saisies!B60)</f>
        <v>1544.52</v>
      </c>
      <c r="AR5" s="3">
        <f>IF('Blé_d''automne'!G4="",IF(Saisies!C14="",Saisies!B14,Saisies!C14)*IF(Saisies!C27="",Saisies!B27,Saisies!C27),'Blé_d''automne'!G4)*(1+IF(Saisies!C45="",Saisies!B45,Saisies!C45)*IF(Saisies!C60="",Saisies!B60,Saisies!C60))</f>
        <v>1544.52</v>
      </c>
      <c r="AT5" s="3">
        <f>Blé_printemps!E4*(1+Saisies!B44*Saisies!B60)</f>
        <v>1235.616</v>
      </c>
      <c r="AU5" s="3">
        <f>IF(Blé_printemps!G4="",IF(Saisies!C13="",Saisies!B13,Saisies!C13)*IF(Saisies!C26="",Saisies!B26,Saisies!C26),Blé_printemps!G4)*(1+IF(Saisies!C44="",Saisies!B44,Saisies!C44)*IF(Saisies!C60="",Saisies!B60,Saisies!C60))</f>
        <v>1235.616</v>
      </c>
      <c r="AW5" s="3">
        <f>Sarrasin!E4*(1+Saisies!B46*Saisies!B60)</f>
        <v>826.2</v>
      </c>
      <c r="AX5" s="3">
        <f>IF(Sarrasin!G4="",IF(Saisies!C15="",Saisies!B15,Saisies!C15)*IF(Saisies!C28="",Saisies!B28,Saisies!C28),Sarrasin!G4)*(1+IF(Saisies!C46="",Saisies!B46,Saisies!C46)*IF(Saisies!C60="",Saisies!B60,Saisies!C60))</f>
        <v>826.2</v>
      </c>
      <c r="AY5" s="42"/>
      <c r="AZ5" s="37">
        <f>'Maïs-grain'!E5*(1+Saisies!B39*Saisies!B61)</f>
        <v>2687.4210000000003</v>
      </c>
      <c r="BA5" s="3">
        <f>IF('Maïs-grain'!G5="",IF(Saisies!C8="",Saisies!B8,Saisies!C8)*IF(Saisies!C21="",Saisies!B21,Saisies!C21),'Maïs-grain'!G5)*(1+IF(Saisies!C39="",Saisies!B39,Saisies!C39)*IF(Saisies!C61="",Saisies!B61,Saisies!C61))</f>
        <v>2687.4210000000003</v>
      </c>
      <c r="BC5" s="3">
        <f>Canola!E4*(1+Saisies!B40*Saisies!B61)</f>
        <v>1566.3</v>
      </c>
      <c r="BD5" s="3">
        <f>IF(Canola!G4="",IF(Saisies!C9="",Saisies!B9,Saisies!C9)*IF(Saisies!C22="",Saisies!B22,Saisies!C22),Canola!G4)*(1+IF(Saisies!C40="",Saisies!B40,Saisies!C40)*IF(Saisies!C61="",Saisies!B61,Saisies!C61))</f>
        <v>1566.3</v>
      </c>
      <c r="BF5" s="3">
        <f>Soya!E4*(1+Saisies!B41*Saisies!B61)</f>
        <v>1566</v>
      </c>
      <c r="BG5" s="3">
        <f>IF(Soya!G4="",IF(Saisies!C10="",Saisies!B10,Saisies!C10)*IF(Saisies!C23="",Saisies!B23,Saisies!C23),Soya!G4)*(1+IF(Saisies!C41="",Saisies!B41,Saisies!C41)*IF(Saisies!C61="",Saisies!B61,Saisies!C61))</f>
        <v>1566</v>
      </c>
      <c r="BI5" s="3">
        <f>Orge!E4*(1+Saisies!B42*Saisies!B61)</f>
        <v>1007.325</v>
      </c>
      <c r="BJ5" s="3">
        <f>IF(Orge!G4="",IF(Saisies!C11="",Saisies!B11,Saisies!C11)*IF(Saisies!C24="",Saisies!B24,Saisies!C24),Orge!G4)*(1+IF(Saisies!C42="",Saisies!B42,Saisies!C42)*IF(Saisies!C61="",Saisies!B61,Saisies!C61))</f>
        <v>1007.325</v>
      </c>
      <c r="BL5" s="3">
        <f>Avoine!E4*(1+Saisies!B43*Saisies!B61)</f>
        <v>802.30800000000011</v>
      </c>
      <c r="BM5" s="3">
        <f>IF(Avoine!G4="",IF(Saisies!C12="",Saisies!B12,Saisies!C12)*IF(Saisies!C25="",Saisies!B25,Saisies!C25),Avoine!G4)*(1+IF(Saisies!C43="",Saisies!B43,Saisies!C43)*IF(Saisies!C61="",Saisies!B61,Saisies!C61))</f>
        <v>802.30800000000011</v>
      </c>
      <c r="BO5" s="3">
        <f>'Blé_d''automne'!E4*(1+Saisies!B45*Saisies!B61)</f>
        <v>1625.0400000000002</v>
      </c>
      <c r="BP5" s="3">
        <f>IF('Blé_d''automne'!G4="",IF(Saisies!C14="",Saisies!B14,Saisies!C14)*IF(Saisies!C27="",Saisies!B27,Saisies!C27),'Blé_d''automne'!G4)*(1+IF(Saisies!C45="",Saisies!B45,Saisies!C45)*IF(Saisies!C61="",Saisies!B61,Saisies!C61))</f>
        <v>1625.0400000000002</v>
      </c>
      <c r="BR5" s="3">
        <f>Blé_printemps!E4*(1+Saisies!B44*Saisies!B61)</f>
        <v>1300.0320000000002</v>
      </c>
      <c r="BS5" s="3">
        <f>IF(Blé_printemps!G4="",IF(Saisies!C13="",Saisies!B13,Saisies!C13)*IF(Saisies!C26="",Saisies!B26,Saisies!C26),Blé_printemps!G4)*(1+IF(Saisies!C44="",Saisies!B44,Saisies!C44)*IF(Saisies!C61="",Saisies!B61,Saisies!C61))</f>
        <v>1300.0320000000002</v>
      </c>
      <c r="BU5" s="3">
        <f>Sarrasin!E4*(1+Saisies!B46*Saisies!B61)</f>
        <v>826.2</v>
      </c>
      <c r="BV5" s="3">
        <f>IF(Sarrasin!G4="",IF(Saisies!C15="",Saisies!B15,Saisies!C15)*IF(Saisies!C28="",Saisies!B28,Saisies!C28),Sarrasin!G4)*(1+IF(Saisies!C46="",Saisies!B46,Saisies!C46)*IF(Saisies!C61="",Saisies!B61,Saisies!C61))</f>
        <v>826.2</v>
      </c>
    </row>
    <row r="6" spans="1:74" x14ac:dyDescent="0.25">
      <c r="A6" t="s">
        <v>10</v>
      </c>
      <c r="D6" s="3">
        <f>'Maïs-grain'!E6</f>
        <v>0</v>
      </c>
      <c r="E6" s="3">
        <f>IF('Maïs-grain'!G6="",'Intermédiaire_Prod-Résultats'!D6,'Maïs-grain'!G6)</f>
        <v>0</v>
      </c>
      <c r="G6" s="3">
        <f>Canola!E5</f>
        <v>0</v>
      </c>
      <c r="H6" s="3">
        <f>IF(Canola!G5="",'Intermédiaire_Prod-Résultats'!G6,Canola!G5)</f>
        <v>0</v>
      </c>
      <c r="J6" s="3">
        <f>Soya!E5</f>
        <v>0</v>
      </c>
      <c r="K6" s="3">
        <f>IF(Soya!G5="",'Intermédiaire_Prod-Résultats'!J6,Soya!G5)</f>
        <v>0</v>
      </c>
      <c r="M6" s="3">
        <f>Orge!E5</f>
        <v>0</v>
      </c>
      <c r="N6" s="3">
        <f>IF(Orge!G5="",'Intermédiaire_Prod-Résultats'!M6,Orge!G5)</f>
        <v>0</v>
      </c>
      <c r="P6" s="3">
        <f>Avoine!E5</f>
        <v>0</v>
      </c>
      <c r="Q6" s="3">
        <f>IF(Avoine!G5="",'Intermédiaire_Prod-Résultats'!P6,Avoine!G5)</f>
        <v>0</v>
      </c>
      <c r="S6" s="3">
        <f>'Blé_d''automne'!E5</f>
        <v>0</v>
      </c>
      <c r="T6" s="3">
        <f>IF('Blé_d''automne'!G5="",'Intermédiaire_Prod-Résultats'!S6,'Blé_d''automne'!G5)</f>
        <v>0</v>
      </c>
      <c r="V6" s="3">
        <f>Blé_printemps!E5</f>
        <v>0</v>
      </c>
      <c r="W6" s="3">
        <f>IF(Blé_printemps!G5="",'Intermédiaire_Prod-Résultats'!V6,Blé_printemps!G5)</f>
        <v>0</v>
      </c>
      <c r="Y6" s="3">
        <f>Sarrasin!E5</f>
        <v>0</v>
      </c>
      <c r="Z6" s="3">
        <f>IF(Sarrasin!G5="",'Intermédiaire_Prod-Résultats'!Y6,Sarrasin!G5)</f>
        <v>0</v>
      </c>
      <c r="AA6" s="42"/>
      <c r="AB6" s="37">
        <f>'Maïs-grain'!E6</f>
        <v>0</v>
      </c>
      <c r="AC6" s="3">
        <f>IF('Maïs-grain'!G6="",'Intermédiaire_Prod-Résultats'!AB6,'Maïs-grain'!G6)</f>
        <v>0</v>
      </c>
      <c r="AE6" s="3">
        <f>Canola!E5</f>
        <v>0</v>
      </c>
      <c r="AF6" s="3">
        <f>IF(Canola!G5="",'Intermédiaire_Prod-Résultats'!AE6,Canola!G5)</f>
        <v>0</v>
      </c>
      <c r="AH6" s="3">
        <f>Soya!E5</f>
        <v>0</v>
      </c>
      <c r="AI6" s="3">
        <f>IF(Soya!G5="",'Intermédiaire_Prod-Résultats'!AH6,Soya!G5)</f>
        <v>0</v>
      </c>
      <c r="AK6" s="3">
        <f>Orge!E5</f>
        <v>0</v>
      </c>
      <c r="AL6" s="3">
        <f>IF(Orge!G5="",'Intermédiaire_Prod-Résultats'!AK6,Orge!G5)</f>
        <v>0</v>
      </c>
      <c r="AN6" s="3">
        <f>Avoine!E5</f>
        <v>0</v>
      </c>
      <c r="AO6" s="3">
        <f>IF(Avoine!G5="",'Intermédiaire_Prod-Résultats'!AN6,Avoine!G5)</f>
        <v>0</v>
      </c>
      <c r="AQ6" s="3">
        <f>'Blé_d''automne'!E5</f>
        <v>0</v>
      </c>
      <c r="AR6" s="3">
        <f>IF('Blé_d''automne'!G5="",'Intermédiaire_Prod-Résultats'!AQ6,'Blé_d''automne'!G5)</f>
        <v>0</v>
      </c>
      <c r="AT6" s="3">
        <f>Blé_printemps!E5</f>
        <v>0</v>
      </c>
      <c r="AU6" s="3">
        <f>IF(Blé_printemps!G5="",'Intermédiaire_Prod-Résultats'!AT6,Blé_printemps!G5)</f>
        <v>0</v>
      </c>
      <c r="AW6" s="3">
        <f>Sarrasin!E5</f>
        <v>0</v>
      </c>
      <c r="AX6" s="3">
        <f>IF(Sarrasin!G5="",'Intermédiaire_Prod-Résultats'!AW6,Sarrasin!G5)</f>
        <v>0</v>
      </c>
      <c r="AY6" s="42"/>
      <c r="AZ6" s="37">
        <f>'Maïs-grain'!E6</f>
        <v>0</v>
      </c>
      <c r="BA6" s="3">
        <f>IF('Maïs-grain'!G6="",'Intermédiaire_Prod-Résultats'!AZ6,'Maïs-grain'!G6)</f>
        <v>0</v>
      </c>
      <c r="BC6" s="3">
        <f>Canola!E5</f>
        <v>0</v>
      </c>
      <c r="BD6" s="3">
        <f>IF(Canola!G5="",'Intermédiaire_Prod-Résultats'!BC6,Canola!G5)</f>
        <v>0</v>
      </c>
      <c r="BF6" s="3">
        <f>Soya!E5</f>
        <v>0</v>
      </c>
      <c r="BG6" s="3">
        <f>IF(Soya!G5="",'Intermédiaire_Prod-Résultats'!BF6,Soya!G5)</f>
        <v>0</v>
      </c>
      <c r="BI6" s="3">
        <f>Orge!E5</f>
        <v>0</v>
      </c>
      <c r="BJ6" s="3">
        <f>IF(Orge!G5="",'Intermédiaire_Prod-Résultats'!BI6,Orge!G5)</f>
        <v>0</v>
      </c>
      <c r="BL6" s="3">
        <f>Avoine!E5</f>
        <v>0</v>
      </c>
      <c r="BM6" s="3">
        <f>IF(Avoine!G5="",'Intermédiaire_Prod-Résultats'!BL6,Avoine!G5)</f>
        <v>0</v>
      </c>
      <c r="BO6" s="3">
        <f>'Blé_d''automne'!E5</f>
        <v>0</v>
      </c>
      <c r="BP6" s="3">
        <f>IF('Blé_d''automne'!G5="",'Intermédiaire_Prod-Résultats'!BO6,'Blé_d''automne'!G5)</f>
        <v>0</v>
      </c>
      <c r="BR6" s="3">
        <f>Blé_printemps!E5</f>
        <v>0</v>
      </c>
      <c r="BS6" s="3">
        <f>IF(Blé_printemps!G5="",'Intermédiaire_Prod-Résultats'!BR6,Blé_printemps!G5)</f>
        <v>0</v>
      </c>
      <c r="BU6" s="3">
        <f>Sarrasin!E5</f>
        <v>0</v>
      </c>
      <c r="BV6" s="3">
        <f>IF(Sarrasin!G5="",'Intermédiaire_Prod-Résultats'!BU6,Sarrasin!G5)</f>
        <v>0</v>
      </c>
    </row>
    <row r="7" spans="1:74" x14ac:dyDescent="0.25">
      <c r="A7" t="s">
        <v>37</v>
      </c>
      <c r="D7" s="3">
        <f>'Maïs-grain'!E7</f>
        <v>4.21</v>
      </c>
      <c r="E7" s="3">
        <f>IF('Maïs-grain'!G7="",'Intermédiaire_Prod-Résultats'!D7,'Maïs-grain'!G7)</f>
        <v>4.21</v>
      </c>
      <c r="G7" s="3">
        <f>Canola!E6</f>
        <v>0</v>
      </c>
      <c r="H7" s="3">
        <f>IF(Canola!G6="",'Intermédiaire_Prod-Résultats'!G7,Canola!G6)</f>
        <v>0</v>
      </c>
      <c r="J7" s="3">
        <f>Soya!E6</f>
        <v>53.32</v>
      </c>
      <c r="K7" s="3">
        <f>IF(Soya!G6="",'Intermédiaire_Prod-Résultats'!J7,Soya!G6)</f>
        <v>53.32</v>
      </c>
      <c r="M7" s="3">
        <f>Orge!E6</f>
        <v>165.64</v>
      </c>
      <c r="N7" s="3">
        <f>IF(Orge!G6="",'Intermédiaire_Prod-Résultats'!M7,Orge!G6)</f>
        <v>165.64</v>
      </c>
      <c r="P7" s="3">
        <f>Avoine!E6</f>
        <v>89.45</v>
      </c>
      <c r="Q7" s="3">
        <f>IF(Avoine!G6="",'Intermédiaire_Prod-Résultats'!P7,Avoine!G6)</f>
        <v>89.45</v>
      </c>
      <c r="S7" s="3">
        <f>'Blé_d''automne'!E6</f>
        <v>148.97999999999999</v>
      </c>
      <c r="T7" s="3">
        <f>IF('Blé_d''automne'!G6="",'Intermédiaire_Prod-Résultats'!S7,'Blé_d''automne'!G6)</f>
        <v>148.97999999999999</v>
      </c>
      <c r="V7" s="3">
        <f>Blé_printemps!E6</f>
        <v>148.97999999999999</v>
      </c>
      <c r="W7" s="3">
        <f>IF(Blé_printemps!G6="",'Intermédiaire_Prod-Résultats'!V7,Blé_printemps!G6)</f>
        <v>148.97999999999999</v>
      </c>
      <c r="Y7" s="3">
        <f>Sarrasin!E6</f>
        <v>0</v>
      </c>
      <c r="Z7" s="3">
        <f>IF(Sarrasin!G6="",'Intermédiaire_Prod-Résultats'!Y7,Sarrasin!G6)</f>
        <v>0</v>
      </c>
      <c r="AA7" s="42"/>
      <c r="AB7" s="37">
        <f>'Maïs-grain'!E7</f>
        <v>4.21</v>
      </c>
      <c r="AC7" s="3">
        <f>IF('Maïs-grain'!G7="",'Intermédiaire_Prod-Résultats'!AB7,'Maïs-grain'!G7)</f>
        <v>4.21</v>
      </c>
      <c r="AE7" s="3">
        <f>Canola!E6</f>
        <v>0</v>
      </c>
      <c r="AF7" s="3">
        <f>IF(Canola!G6="",'Intermédiaire_Prod-Résultats'!AE7,Canola!G6)</f>
        <v>0</v>
      </c>
      <c r="AH7" s="3">
        <f>Soya!E6</f>
        <v>53.32</v>
      </c>
      <c r="AI7" s="3">
        <f>IF(Soya!G6="",'Intermédiaire_Prod-Résultats'!AH7,Soya!G6)</f>
        <v>53.32</v>
      </c>
      <c r="AK7" s="3">
        <f>Orge!E6</f>
        <v>165.64</v>
      </c>
      <c r="AL7" s="3">
        <f>IF(Orge!G6="",'Intermédiaire_Prod-Résultats'!AK7,Orge!G6)</f>
        <v>165.64</v>
      </c>
      <c r="AN7" s="3">
        <f>Avoine!E6</f>
        <v>89.45</v>
      </c>
      <c r="AO7" s="3">
        <f>IF(Avoine!G6="",'Intermédiaire_Prod-Résultats'!AN7,Avoine!G6)</f>
        <v>89.45</v>
      </c>
      <c r="AQ7" s="3">
        <f>'Blé_d''automne'!E6</f>
        <v>148.97999999999999</v>
      </c>
      <c r="AR7" s="3">
        <f>IF('Blé_d''automne'!G6="",'Intermédiaire_Prod-Résultats'!AQ7,'Blé_d''automne'!G6)</f>
        <v>148.97999999999999</v>
      </c>
      <c r="AT7" s="3">
        <f>Blé_printemps!E6</f>
        <v>148.97999999999999</v>
      </c>
      <c r="AU7" s="3">
        <f>IF(Blé_printemps!G6="",'Intermédiaire_Prod-Résultats'!AT7,Blé_printemps!G6)</f>
        <v>148.97999999999999</v>
      </c>
      <c r="AW7" s="3">
        <f>Sarrasin!E6</f>
        <v>0</v>
      </c>
      <c r="AX7" s="3">
        <f>IF(Sarrasin!G6="",'Intermédiaire_Prod-Résultats'!AW7,Sarrasin!G6)</f>
        <v>0</v>
      </c>
      <c r="AY7" s="42"/>
      <c r="AZ7" s="37">
        <f>'Maïs-grain'!E7</f>
        <v>4.21</v>
      </c>
      <c r="BA7" s="3">
        <f>IF('Maïs-grain'!G7="",'Intermédiaire_Prod-Résultats'!AZ7,'Maïs-grain'!G7)</f>
        <v>4.21</v>
      </c>
      <c r="BC7" s="3">
        <f>Canola!E6</f>
        <v>0</v>
      </c>
      <c r="BD7" s="3">
        <f>IF(Canola!G6="",'Intermédiaire_Prod-Résultats'!BC7,Canola!G6)</f>
        <v>0</v>
      </c>
      <c r="BF7" s="3">
        <f>Soya!E6</f>
        <v>53.32</v>
      </c>
      <c r="BG7" s="3">
        <f>IF(Soya!G6="",'Intermédiaire_Prod-Résultats'!BF7,Soya!G6)</f>
        <v>53.32</v>
      </c>
      <c r="BI7" s="3">
        <f>Orge!E6</f>
        <v>165.64</v>
      </c>
      <c r="BJ7" s="3">
        <f>IF(Orge!G6="",'Intermédiaire_Prod-Résultats'!BI7,Orge!G6)</f>
        <v>165.64</v>
      </c>
      <c r="BL7" s="3">
        <f>Avoine!E6</f>
        <v>89.45</v>
      </c>
      <c r="BM7" s="3">
        <f>IF(Avoine!G6="",'Intermédiaire_Prod-Résultats'!BL7,Avoine!G6)</f>
        <v>89.45</v>
      </c>
      <c r="BO7" s="3">
        <f>'Blé_d''automne'!E6</f>
        <v>148.97999999999999</v>
      </c>
      <c r="BP7" s="3">
        <f>IF('Blé_d''automne'!G6="",'Intermédiaire_Prod-Résultats'!BO7,'Blé_d''automne'!G6)</f>
        <v>148.97999999999999</v>
      </c>
      <c r="BR7" s="3">
        <f>Blé_printemps!E6</f>
        <v>148.97999999999999</v>
      </c>
      <c r="BS7" s="3">
        <f>IF(Blé_printemps!G6="",'Intermédiaire_Prod-Résultats'!BR7,Blé_printemps!G6)</f>
        <v>148.97999999999999</v>
      </c>
      <c r="BU7" s="3">
        <f>Sarrasin!E6</f>
        <v>0</v>
      </c>
      <c r="BV7" s="3">
        <f>IF(Sarrasin!G6="",'Intermédiaire_Prod-Résultats'!BU7,Sarrasin!G6)</f>
        <v>0</v>
      </c>
    </row>
    <row r="8" spans="1:74" x14ac:dyDescent="0.25">
      <c r="A8" s="33" t="s">
        <v>168</v>
      </c>
      <c r="D8" s="3">
        <f>(D5-D15)*0.042</f>
        <v>89.239500000000007</v>
      </c>
      <c r="E8" s="3">
        <f>(E5-E15)*0.042</f>
        <v>89.239500000000007</v>
      </c>
      <c r="G8" s="3">
        <f>(G5-G15)*0.01</f>
        <v>13.918099999999999</v>
      </c>
      <c r="H8" s="3">
        <f>(H5-H15)*0.01</f>
        <v>13.918099999999999</v>
      </c>
      <c r="J8" s="3">
        <f>(J5-J15)*0.042</f>
        <v>52.493699999999997</v>
      </c>
      <c r="K8" s="3">
        <f>(K5-K15)*0.042</f>
        <v>52.493699999999997</v>
      </c>
      <c r="M8" s="3">
        <f>(M5+M7-M15)*0.01</f>
        <v>9.3591999999999995</v>
      </c>
      <c r="N8" s="3">
        <f>(N5+N7-N15)*0.01</f>
        <v>9.3591999999999995</v>
      </c>
      <c r="P8" s="3">
        <f>(P5+P7-P15)*0.01</f>
        <v>7.1457000000000015</v>
      </c>
      <c r="Q8" s="3">
        <f>(Q5+Q7-Q15)*0.01</f>
        <v>7.1457000000000015</v>
      </c>
      <c r="S8" s="3">
        <f>(S5+S7-S15)*0.01</f>
        <v>14.473699999999999</v>
      </c>
      <c r="T8" s="3">
        <f>(T5+T7-T15)*0.01</f>
        <v>14.473699999999999</v>
      </c>
      <c r="V8" s="3">
        <f>(V5+V7-V15)*0.01</f>
        <v>11.4278</v>
      </c>
      <c r="W8" s="3">
        <f>(W5+W7-W15)*0.01</f>
        <v>11.4278</v>
      </c>
      <c r="Y8" s="3">
        <f>(Y5+Y7-Y15)*0.01</f>
        <v>7.6594000000000007</v>
      </c>
      <c r="Z8" s="3">
        <f>(Z5+Z7-Z15)*0.01</f>
        <v>7.6594000000000007</v>
      </c>
      <c r="AA8" s="42"/>
      <c r="AB8" s="37">
        <f>(AB5-AB15)*0.042</f>
        <v>94.83224100000001</v>
      </c>
      <c r="AC8" s="3">
        <f>(AC5-AC15)*0.042</f>
        <v>94.83224100000001</v>
      </c>
      <c r="AE8" s="3">
        <f>(AE5-AE15)*0.01</f>
        <v>13.918099999999999</v>
      </c>
      <c r="AF8" s="3">
        <f>(AF5-AF15)*0.01</f>
        <v>13.918099999999999</v>
      </c>
      <c r="AH8" s="3">
        <f>(AH5-AH15)*0.042</f>
        <v>52.493699999999997</v>
      </c>
      <c r="AI8" s="3">
        <f>(AI5-AI15)*0.042</f>
        <v>52.493699999999997</v>
      </c>
      <c r="AK8" s="3">
        <f>(AK5+AK7-AK15)*0.01</f>
        <v>9.8583249999999971</v>
      </c>
      <c r="AL8" s="3">
        <f>(AL5+AL7-AL15)*0.01</f>
        <v>9.8583249999999971</v>
      </c>
      <c r="AN8" s="3">
        <f>(AN5+AN7-AN15)*0.01</f>
        <v>7.5432400000000008</v>
      </c>
      <c r="AO8" s="3">
        <f>(AO5+AO7-AO15)*0.01</f>
        <v>7.5432400000000008</v>
      </c>
      <c r="AQ8" s="3">
        <f>(AQ5+AQ7-AQ15)*0.01</f>
        <v>15.278899999999998</v>
      </c>
      <c r="AR8" s="3">
        <f>(AR5+AR7-AR15)*0.01</f>
        <v>15.278899999999998</v>
      </c>
      <c r="AT8" s="3">
        <f>(AT5+AT7-AT15)*0.01</f>
        <v>12.071959999999999</v>
      </c>
      <c r="AU8" s="3">
        <f>(AU5+AU7-AU15)*0.01</f>
        <v>12.071959999999999</v>
      </c>
      <c r="AW8" s="3">
        <f>(AW5-AW15)*0.01</f>
        <v>7.6594000000000007</v>
      </c>
      <c r="AX8" s="3">
        <f>(AX5-AX15)*0.01</f>
        <v>7.6594000000000007</v>
      </c>
      <c r="AY8" s="42"/>
      <c r="AZ8" s="37">
        <f>(AZ5-AZ15)*0.042</f>
        <v>100.42498200000003</v>
      </c>
      <c r="BA8" s="3">
        <f>(BA5-BA15)*0.042</f>
        <v>100.42498200000003</v>
      </c>
      <c r="BC8" s="3">
        <f>(BC5-BC15)*0.01</f>
        <v>13.918099999999999</v>
      </c>
      <c r="BD8" s="3">
        <f>(BD5-BD15)*0.01</f>
        <v>13.918099999999999</v>
      </c>
      <c r="BF8" s="3">
        <f>(BF5-BF15)*0.042</f>
        <v>52.493699999999997</v>
      </c>
      <c r="BG8" s="3">
        <f>(BG5-BG15)*0.042</f>
        <v>52.493699999999997</v>
      </c>
      <c r="BI8" s="3">
        <f>(BI5+BI7-BI15)*0.01</f>
        <v>10.357450000000002</v>
      </c>
      <c r="BJ8" s="3">
        <f>(BJ5+BJ7-BJ15)*0.01</f>
        <v>10.357450000000002</v>
      </c>
      <c r="BL8" s="3">
        <f>(BL5+BL7-BL15)*0.01</f>
        <v>7.9407800000000019</v>
      </c>
      <c r="BM8" s="3">
        <f>(BM5+BM7-BM15)*0.01</f>
        <v>7.9407800000000019</v>
      </c>
      <c r="BO8" s="3">
        <f>(BO5+BO7-BO15)*0.01</f>
        <v>16.084100000000003</v>
      </c>
      <c r="BP8" s="3">
        <f>(BP5+BP7-BP15)*0.01</f>
        <v>16.084100000000003</v>
      </c>
      <c r="BR8" s="3">
        <f>(BR5+BR7-BR15)*0.01</f>
        <v>12.716120000000002</v>
      </c>
      <c r="BS8" s="3">
        <f>(BS5+BS7-BS15)*0.01</f>
        <v>12.716120000000002</v>
      </c>
      <c r="BU8" s="3">
        <f>(BU5+BU7-BU15)*0.01</f>
        <v>7.6594000000000007</v>
      </c>
      <c r="BV8" s="3">
        <f>(BV5+BV7-BV15)*0.01</f>
        <v>7.6594000000000007</v>
      </c>
    </row>
    <row r="9" spans="1:74" x14ac:dyDescent="0.25">
      <c r="A9" s="33" t="s">
        <v>38</v>
      </c>
      <c r="D9" s="3">
        <f>'Maïs-grain'!E9</f>
        <v>0</v>
      </c>
      <c r="E9" s="3">
        <f>IF('Maïs-grain'!G9="",'Intermédiaire_Prod-Résultats'!D9,'Maïs-grain'!G9)</f>
        <v>0</v>
      </c>
      <c r="G9" s="3">
        <f>Canola!E8</f>
        <v>39.78</v>
      </c>
      <c r="H9" s="3">
        <f>IF(Canola!G8="",'Intermédiaire_Prod-Résultats'!G9,Canola!G8)</f>
        <v>39.78</v>
      </c>
      <c r="J9" s="3">
        <f>Soya!E8</f>
        <v>19.11</v>
      </c>
      <c r="K9" s="3">
        <f>IF(Soya!G8="",'Intermédiaire_Prod-Résultats'!J9,Soya!G8)</f>
        <v>19.11</v>
      </c>
      <c r="M9" s="3">
        <f>Orge!E8</f>
        <v>74.010000000000005</v>
      </c>
      <c r="N9" s="3">
        <f>IF(Orge!G8="",'Intermédiaire_Prod-Résultats'!M9,Orge!G8)</f>
        <v>74.010000000000005</v>
      </c>
      <c r="P9" s="3">
        <f>Avoine!E8</f>
        <v>43.9</v>
      </c>
      <c r="Q9" s="3">
        <f>IF(Avoine!G8="",'Intermédiaire_Prod-Résultats'!P9,Avoine!G8)</f>
        <v>43.9</v>
      </c>
      <c r="S9" s="3">
        <f>'Blé_d''automne'!E8</f>
        <v>56.21</v>
      </c>
      <c r="T9" s="3">
        <f>IF('Blé_d''automne'!G8="",'Intermédiaire_Prod-Résultats'!S9,'Blé_d''automne'!G8)</f>
        <v>56.21</v>
      </c>
      <c r="V9" s="3">
        <f>Blé_printemps!E8</f>
        <v>59.25</v>
      </c>
      <c r="W9" s="3">
        <f>IF(Blé_printemps!G8="",'Intermédiaire_Prod-Résultats'!V9,Blé_printemps!G8)</f>
        <v>59.25</v>
      </c>
      <c r="Y9" s="3">
        <f>Sarrasin!E8</f>
        <v>29.08</v>
      </c>
      <c r="Z9" s="3">
        <f>IF(Sarrasin!G8="",'Intermédiaire_Prod-Résultats'!Y9,Sarrasin!G8)</f>
        <v>29.08</v>
      </c>
      <c r="AA9" s="42"/>
      <c r="AB9" s="37">
        <f>'Maïs-grain'!E9</f>
        <v>0</v>
      </c>
      <c r="AC9" s="3">
        <f>IF('Maïs-grain'!G9="",'Intermédiaire_Prod-Résultats'!AB9,'Maïs-grain'!G9)</f>
        <v>0</v>
      </c>
      <c r="AE9" s="3">
        <f>Canola!E8</f>
        <v>39.78</v>
      </c>
      <c r="AF9" s="3">
        <f>IF(Canola!G8="",'Intermédiaire_Prod-Résultats'!AE9,Canola!G8)</f>
        <v>39.78</v>
      </c>
      <c r="AH9" s="3">
        <f>Soya!E8</f>
        <v>19.11</v>
      </c>
      <c r="AI9" s="3">
        <f>IF(Soya!G8="",'Intermédiaire_Prod-Résultats'!AH9,Soya!G8)</f>
        <v>19.11</v>
      </c>
      <c r="AK9" s="3">
        <f>Orge!E8</f>
        <v>74.010000000000005</v>
      </c>
      <c r="AL9" s="3">
        <f>IF(Orge!G8="",'Intermédiaire_Prod-Résultats'!AK9,Orge!G8)</f>
        <v>74.010000000000005</v>
      </c>
      <c r="AN9" s="3">
        <f>Avoine!E8</f>
        <v>43.9</v>
      </c>
      <c r="AO9" s="3">
        <f>IF(Avoine!G8="",'Intermédiaire_Prod-Résultats'!AN9,Avoine!G8)</f>
        <v>43.9</v>
      </c>
      <c r="AQ9" s="3">
        <f>'Blé_d''automne'!E8</f>
        <v>56.21</v>
      </c>
      <c r="AR9" s="3">
        <f>IF('Blé_d''automne'!G8="",'Intermédiaire_Prod-Résultats'!AQ9,'Blé_d''automne'!G8)</f>
        <v>56.21</v>
      </c>
      <c r="AT9" s="3">
        <f>Blé_printemps!E8</f>
        <v>59.25</v>
      </c>
      <c r="AU9" s="3">
        <f>IF(Blé_printemps!G8="",'Intermédiaire_Prod-Résultats'!AT9,Blé_printemps!G8)</f>
        <v>59.25</v>
      </c>
      <c r="AW9" s="3">
        <f>Sarrasin!E8</f>
        <v>29.08</v>
      </c>
      <c r="AX9" s="3">
        <f>IF(Sarrasin!G8="",'Intermédiaire_Prod-Résultats'!AW9,Sarrasin!G8)</f>
        <v>29.08</v>
      </c>
      <c r="AY9" s="42"/>
      <c r="AZ9" s="37">
        <f>'Maïs-grain'!E9</f>
        <v>0</v>
      </c>
      <c r="BA9" s="3">
        <f>IF('Maïs-grain'!G9="",'Intermédiaire_Prod-Résultats'!AZ9,'Maïs-grain'!G9)</f>
        <v>0</v>
      </c>
      <c r="BC9" s="3">
        <f>Canola!E8</f>
        <v>39.78</v>
      </c>
      <c r="BD9" s="3">
        <f>IF(Canola!G8="",'Intermédiaire_Prod-Résultats'!BC9,Canola!G8)</f>
        <v>39.78</v>
      </c>
      <c r="BF9" s="3">
        <f>Soya!E8</f>
        <v>19.11</v>
      </c>
      <c r="BG9" s="3">
        <f>IF(Soya!G8="",'Intermédiaire_Prod-Résultats'!BF9,Soya!G8)</f>
        <v>19.11</v>
      </c>
      <c r="BI9" s="3">
        <f>Orge!E8</f>
        <v>74.010000000000005</v>
      </c>
      <c r="BJ9" s="3">
        <f>IF(Orge!G8="",'Intermédiaire_Prod-Résultats'!BI9,Orge!G8)</f>
        <v>74.010000000000005</v>
      </c>
      <c r="BL9" s="3">
        <f>Avoine!E8</f>
        <v>43.9</v>
      </c>
      <c r="BM9" s="3">
        <f>IF(Avoine!G8="",'Intermédiaire_Prod-Résultats'!BL9,Avoine!G8)</f>
        <v>43.9</v>
      </c>
      <c r="BO9" s="3">
        <f>'Blé_d''automne'!E8</f>
        <v>56.21</v>
      </c>
      <c r="BP9" s="3">
        <f>IF('Blé_d''automne'!G8="",'Intermédiaire_Prod-Résultats'!BO9,'Blé_d''automne'!G8)</f>
        <v>56.21</v>
      </c>
      <c r="BR9" s="3">
        <f>Blé_printemps!E8</f>
        <v>59.25</v>
      </c>
      <c r="BS9" s="3">
        <f>IF(Blé_printemps!G8="",'Intermédiaire_Prod-Résultats'!BR9,Blé_printemps!G8)</f>
        <v>59.25</v>
      </c>
      <c r="BU9" s="3">
        <f>Sarrasin!E8</f>
        <v>29.08</v>
      </c>
      <c r="BV9" s="3">
        <f>IF(Sarrasin!G8="",'Intermédiaire_Prod-Résultats'!BU9,Sarrasin!G8)</f>
        <v>29.08</v>
      </c>
    </row>
    <row r="10" spans="1:74" x14ac:dyDescent="0.25">
      <c r="D10" s="3"/>
      <c r="E10" s="3"/>
      <c r="G10" s="3"/>
      <c r="H10" s="3"/>
      <c r="J10" s="3"/>
      <c r="K10" s="3"/>
      <c r="M10" s="3"/>
      <c r="N10" s="3"/>
      <c r="P10" s="3"/>
      <c r="Q10" s="3"/>
      <c r="S10" s="3"/>
      <c r="T10" s="3"/>
      <c r="V10" s="3"/>
      <c r="W10" s="3"/>
      <c r="Y10" s="3"/>
      <c r="Z10" s="3"/>
      <c r="AA10" s="42"/>
      <c r="AB10" s="37"/>
      <c r="AC10" s="3"/>
      <c r="AE10" s="3"/>
      <c r="AF10" s="3"/>
      <c r="AH10" s="3"/>
      <c r="AI10" s="3"/>
      <c r="AK10" s="3"/>
      <c r="AL10" s="3"/>
      <c r="AN10" s="3"/>
      <c r="AO10" s="3"/>
      <c r="AQ10" s="3"/>
      <c r="AR10" s="3"/>
      <c r="AT10" s="3"/>
      <c r="AU10" s="3"/>
      <c r="AW10" s="3"/>
      <c r="AX10" s="3"/>
      <c r="AY10" s="42"/>
      <c r="AZ10" s="37"/>
      <c r="BA10" s="3"/>
      <c r="BC10" s="3"/>
      <c r="BD10" s="3"/>
      <c r="BF10" s="3"/>
      <c r="BG10" s="3"/>
      <c r="BI10" s="3"/>
      <c r="BJ10" s="3"/>
      <c r="BL10" s="3"/>
      <c r="BM10" s="3"/>
      <c r="BO10" s="3"/>
      <c r="BP10" s="3"/>
      <c r="BR10" s="3"/>
      <c r="BS10" s="3"/>
      <c r="BU10" s="3"/>
      <c r="BV10" s="3"/>
    </row>
    <row r="11" spans="1:74" x14ac:dyDescent="0.25">
      <c r="A11" s="1" t="s">
        <v>12</v>
      </c>
      <c r="D11" s="6">
        <f>SUM(D5:D9)</f>
        <v>2514.5495000000001</v>
      </c>
      <c r="E11" s="6">
        <f>SUM(E5:E9)</f>
        <v>2514.5495000000001</v>
      </c>
      <c r="G11" s="6">
        <f>SUM(G5:G9)</f>
        <v>1619.9981</v>
      </c>
      <c r="H11" s="6">
        <f>SUM(H5:H9)</f>
        <v>1619.9981</v>
      </c>
      <c r="J11" s="6">
        <f>SUM(J5:J9)</f>
        <v>1690.9236999999998</v>
      </c>
      <c r="K11" s="6">
        <f>SUM(K5:K9)</f>
        <v>1690.9236999999998</v>
      </c>
      <c r="M11" s="6">
        <f>SUM(M5:M9)</f>
        <v>1156.5092</v>
      </c>
      <c r="N11" s="6">
        <f>SUM(N5:N9)</f>
        <v>1156.5092</v>
      </c>
      <c r="P11" s="6">
        <f>SUM(P5:P9)</f>
        <v>863.29570000000012</v>
      </c>
      <c r="Q11" s="6">
        <f>SUM(Q5:Q9)</f>
        <v>863.29570000000012</v>
      </c>
      <c r="S11" s="6">
        <f>SUM(S5:S9)</f>
        <v>1683.6637000000001</v>
      </c>
      <c r="T11" s="6">
        <f>SUM(T5:T9)</f>
        <v>1683.6637000000001</v>
      </c>
      <c r="V11" s="6">
        <f>SUM(V5:V9)</f>
        <v>1390.8578</v>
      </c>
      <c r="W11" s="6">
        <f>SUM(W5:W9)</f>
        <v>1390.8578</v>
      </c>
      <c r="Y11" s="6">
        <f>SUM(Y5:Y9)</f>
        <v>862.93940000000009</v>
      </c>
      <c r="Z11" s="6">
        <f>SUM(Z5:Z9)</f>
        <v>862.93940000000009</v>
      </c>
      <c r="AA11" s="42"/>
      <c r="AB11" s="6">
        <f>SUM(AB5:AB9)</f>
        <v>2653.302741</v>
      </c>
      <c r="AC11" s="6">
        <f>SUM(AC5:AC9)</f>
        <v>2653.302741</v>
      </c>
      <c r="AE11" s="6">
        <f>SUM(AE5:AE9)</f>
        <v>1619.9981</v>
      </c>
      <c r="AF11" s="6">
        <f>SUM(AF5:AF9)</f>
        <v>1619.9981</v>
      </c>
      <c r="AH11" s="6">
        <f>SUM(AH5:AH9)</f>
        <v>1690.9236999999998</v>
      </c>
      <c r="AI11" s="6">
        <f>SUM(AI5:AI9)</f>
        <v>1690.9236999999998</v>
      </c>
      <c r="AK11" s="6">
        <f>SUM(AK5:AK9)</f>
        <v>1206.9208249999997</v>
      </c>
      <c r="AL11" s="6">
        <f>SUM(AL5:AL9)</f>
        <v>1206.9208249999997</v>
      </c>
      <c r="AN11" s="6">
        <f>SUM(AN5:AN9)</f>
        <v>903.44723999999997</v>
      </c>
      <c r="AO11" s="6">
        <f>SUM(AO5:AO9)</f>
        <v>903.44723999999997</v>
      </c>
      <c r="AQ11" s="6">
        <f>SUM(AQ5:AQ9)</f>
        <v>1764.9889000000001</v>
      </c>
      <c r="AR11" s="6">
        <f>SUM(AR5:AR9)</f>
        <v>1764.9889000000001</v>
      </c>
      <c r="AT11" s="6">
        <f>SUM(AT5:AT9)</f>
        <v>1455.91796</v>
      </c>
      <c r="AU11" s="6">
        <f>SUM(AU5:AU9)</f>
        <v>1455.91796</v>
      </c>
      <c r="AW11" s="6">
        <f>SUM(AW5:AW9)</f>
        <v>862.93940000000009</v>
      </c>
      <c r="AX11" s="6">
        <f>SUM(AX5:AX9)</f>
        <v>862.93940000000009</v>
      </c>
      <c r="AY11" s="42"/>
      <c r="AZ11" s="6">
        <f>SUM(AZ5:AZ9)</f>
        <v>2792.0559820000003</v>
      </c>
      <c r="BA11" s="6">
        <f>SUM(BA5:BA9)</f>
        <v>2792.0559820000003</v>
      </c>
      <c r="BC11" s="6">
        <f>SUM(BC5:BC9)</f>
        <v>1619.9981</v>
      </c>
      <c r="BD11" s="6">
        <f>SUM(BD5:BD9)</f>
        <v>1619.9981</v>
      </c>
      <c r="BF11" s="6">
        <f>SUM(BF5:BF9)</f>
        <v>1690.9236999999998</v>
      </c>
      <c r="BG11" s="6">
        <f>SUM(BG5:BG9)</f>
        <v>1690.9236999999998</v>
      </c>
      <c r="BI11" s="6">
        <f>SUM(BI5:BI9)</f>
        <v>1257.3324500000001</v>
      </c>
      <c r="BJ11" s="6">
        <f>SUM(BJ5:BJ9)</f>
        <v>1257.3324500000001</v>
      </c>
      <c r="BL11" s="6">
        <f>SUM(BL5:BL9)</f>
        <v>943.59878000000015</v>
      </c>
      <c r="BM11" s="6">
        <f>SUM(BM5:BM9)</f>
        <v>943.59878000000015</v>
      </c>
      <c r="BO11" s="6">
        <f>SUM(BO5:BO9)</f>
        <v>1846.3141000000003</v>
      </c>
      <c r="BP11" s="6">
        <f>SUM(BP5:BP9)</f>
        <v>1846.3141000000003</v>
      </c>
      <c r="BR11" s="6">
        <f>SUM(BR5:BR9)</f>
        <v>1520.9781200000002</v>
      </c>
      <c r="BS11" s="6">
        <f>SUM(BS5:BS9)</f>
        <v>1520.9781200000002</v>
      </c>
      <c r="BU11" s="6">
        <f>SUM(BU5:BU9)</f>
        <v>862.93940000000009</v>
      </c>
      <c r="BV11" s="6">
        <f>SUM(BV5:BV9)</f>
        <v>862.93940000000009</v>
      </c>
    </row>
    <row r="12" spans="1:74" x14ac:dyDescent="0.25">
      <c r="D12" s="3"/>
      <c r="E12" s="3"/>
      <c r="G12" s="3"/>
      <c r="H12" s="3"/>
      <c r="J12" s="3"/>
      <c r="K12" s="3"/>
      <c r="M12" s="3"/>
      <c r="N12" s="3"/>
      <c r="P12" s="3"/>
      <c r="Q12" s="3"/>
      <c r="S12" s="3"/>
      <c r="T12" s="3"/>
      <c r="V12" s="3"/>
      <c r="W12" s="3"/>
      <c r="Y12" s="3"/>
      <c r="Z12" s="3"/>
      <c r="AA12" s="42"/>
      <c r="AB12" s="37"/>
      <c r="AC12" s="3"/>
      <c r="AE12" s="3"/>
      <c r="AF12" s="3"/>
      <c r="AH12" s="3"/>
      <c r="AI12" s="3"/>
      <c r="AK12" s="3"/>
      <c r="AL12" s="3"/>
      <c r="AN12" s="3"/>
      <c r="AO12" s="3"/>
      <c r="AQ12" s="3"/>
      <c r="AR12" s="3"/>
      <c r="AT12" s="3"/>
      <c r="AU12" s="3"/>
      <c r="AW12" s="3"/>
      <c r="AX12" s="3"/>
      <c r="AY12" s="42"/>
      <c r="AZ12" s="37"/>
      <c r="BA12" s="3"/>
      <c r="BC12" s="3"/>
      <c r="BD12" s="3"/>
      <c r="BF12" s="3"/>
      <c r="BG12" s="3"/>
      <c r="BI12" s="3"/>
      <c r="BJ12" s="3"/>
      <c r="BL12" s="3"/>
      <c r="BM12" s="3"/>
      <c r="BO12" s="3"/>
      <c r="BP12" s="3"/>
      <c r="BR12" s="3"/>
      <c r="BS12" s="3"/>
      <c r="BU12" s="3"/>
      <c r="BV12" s="3"/>
    </row>
    <row r="13" spans="1:74" x14ac:dyDescent="0.25">
      <c r="D13" s="3"/>
      <c r="E13" s="3"/>
      <c r="G13" s="3"/>
      <c r="H13" s="3"/>
      <c r="J13" s="3"/>
      <c r="K13" s="3"/>
      <c r="M13" s="3"/>
      <c r="N13" s="3"/>
      <c r="P13" s="3"/>
      <c r="Q13" s="3"/>
      <c r="S13" s="3"/>
      <c r="T13" s="3"/>
      <c r="V13" s="3"/>
      <c r="W13" s="3"/>
      <c r="Y13" s="3"/>
      <c r="Z13" s="3"/>
      <c r="AA13" s="42"/>
      <c r="AB13" s="37"/>
      <c r="AC13" s="3"/>
      <c r="AE13" s="3"/>
      <c r="AF13" s="3"/>
      <c r="AH13" s="3"/>
      <c r="AI13" s="3"/>
      <c r="AK13" s="3"/>
      <c r="AL13" s="3"/>
      <c r="AN13" s="3"/>
      <c r="AO13" s="3"/>
      <c r="AQ13" s="3"/>
      <c r="AR13" s="3"/>
      <c r="AT13" s="3"/>
      <c r="AU13" s="3"/>
      <c r="AW13" s="3"/>
      <c r="AX13" s="3"/>
      <c r="AY13" s="42"/>
      <c r="AZ13" s="37"/>
      <c r="BA13" s="3"/>
      <c r="BC13" s="3"/>
      <c r="BD13" s="3"/>
      <c r="BF13" s="3"/>
      <c r="BG13" s="3"/>
      <c r="BI13" s="3"/>
      <c r="BJ13" s="3"/>
      <c r="BL13" s="3"/>
      <c r="BM13" s="3"/>
      <c r="BO13" s="3"/>
      <c r="BP13" s="3"/>
      <c r="BR13" s="3"/>
      <c r="BS13" s="3"/>
      <c r="BU13" s="3"/>
      <c r="BV13" s="3"/>
    </row>
    <row r="14" spans="1:74" x14ac:dyDescent="0.25">
      <c r="A14" s="7" t="s">
        <v>13</v>
      </c>
      <c r="D14" s="3"/>
      <c r="E14" s="3"/>
      <c r="G14" s="3"/>
      <c r="H14" s="3"/>
      <c r="J14" s="3"/>
      <c r="K14" s="3"/>
      <c r="M14" s="3"/>
      <c r="N14" s="3"/>
      <c r="P14" s="3"/>
      <c r="Q14" s="3"/>
      <c r="S14" s="3"/>
      <c r="T14" s="3"/>
      <c r="V14" s="3"/>
      <c r="W14" s="3"/>
      <c r="Y14" s="3"/>
      <c r="Z14" s="3"/>
      <c r="AA14" s="42"/>
      <c r="AB14" s="37"/>
      <c r="AC14" s="3"/>
      <c r="AE14" s="3"/>
      <c r="AF14" s="3"/>
      <c r="AH14" s="3"/>
      <c r="AI14" s="3"/>
      <c r="AK14" s="3"/>
      <c r="AL14" s="3"/>
      <c r="AN14" s="3"/>
      <c r="AO14" s="3"/>
      <c r="AQ14" s="3"/>
      <c r="AR14" s="3"/>
      <c r="AT14" s="3"/>
      <c r="AU14" s="3"/>
      <c r="AW14" s="3"/>
      <c r="AX14" s="3"/>
      <c r="AY14" s="42"/>
      <c r="AZ14" s="37"/>
      <c r="BA14" s="3"/>
      <c r="BC14" s="3"/>
      <c r="BD14" s="3"/>
      <c r="BF14" s="3"/>
      <c r="BG14" s="3"/>
      <c r="BI14" s="3"/>
      <c r="BJ14" s="3"/>
      <c r="BL14" s="3"/>
      <c r="BM14" s="3"/>
      <c r="BO14" s="3"/>
      <c r="BP14" s="3"/>
      <c r="BR14" s="3"/>
      <c r="BS14" s="3"/>
      <c r="BU14" s="3"/>
      <c r="BV14" s="3"/>
    </row>
    <row r="15" spans="1:74" x14ac:dyDescent="0.25">
      <c r="A15" t="s">
        <v>74</v>
      </c>
      <c r="D15" s="3">
        <f>'Maïs-grain'!E16</f>
        <v>296.35000000000002</v>
      </c>
      <c r="E15" s="3">
        <f>IF('Maïs-grain'!G16="",'Intermédiaire_Prod-Résultats'!D15,'Maïs-grain'!G16)</f>
        <v>296.35000000000002</v>
      </c>
      <c r="G15" s="3">
        <f>Canola!E15</f>
        <v>174.49</v>
      </c>
      <c r="H15" s="3">
        <f>IF(Canola!G15="",'Intermédiaire_Prod-Résultats'!G15,Canola!G15)</f>
        <v>174.49</v>
      </c>
      <c r="J15" s="3">
        <f>Soya!E15+IF(Saisies!B34="Oui",'Cultures de couverture'!E9,0)</f>
        <v>316.15000000000003</v>
      </c>
      <c r="K15" s="3">
        <f>IF(Soya!G15="",'Intermédiaire_Prod-Résultats'!J15,Soya!G15+IF(Saisies!B34="Oui",'Cultures de couverture'!E9,0))</f>
        <v>316.15000000000003</v>
      </c>
      <c r="M15" s="3">
        <f>Orge!E15</f>
        <v>137.22</v>
      </c>
      <c r="N15" s="3">
        <f>IF(Orge!G15="",'Intermédiaire_Prod-Résultats'!M15,Orge!G15)</f>
        <v>137.22</v>
      </c>
      <c r="P15" s="3">
        <f>Avoine!E15</f>
        <v>97.68</v>
      </c>
      <c r="Q15" s="3">
        <f>IF(Avoine!G15="",'Intermédiaire_Prod-Résultats'!P15,Avoine!G15)</f>
        <v>97.68</v>
      </c>
      <c r="S15" s="3">
        <f>'Blé_d''automne'!E15</f>
        <v>165.61</v>
      </c>
      <c r="T15" s="3">
        <f>IF('Blé_d''automne'!G15="",'Intermédiaire_Prod-Résultats'!S15,'Blé_d''automne'!G15)</f>
        <v>165.61</v>
      </c>
      <c r="V15" s="3">
        <f>Blé_printemps!E15</f>
        <v>177.4</v>
      </c>
      <c r="W15" s="3">
        <f>IF(Blé_printemps!G15="",'Intermédiaire_Prod-Résultats'!V15,Blé_printemps!G15)</f>
        <v>177.4</v>
      </c>
      <c r="Y15" s="3">
        <f>Sarrasin!E15</f>
        <v>60.26</v>
      </c>
      <c r="Z15" s="3">
        <f>IF(Sarrasin!G15="",'Intermédiaire_Prod-Résultats'!Y15,Sarrasin!G15)</f>
        <v>60.26</v>
      </c>
      <c r="AA15" s="42"/>
      <c r="AB15" s="37">
        <f>'Maïs-grain'!E16</f>
        <v>296.35000000000002</v>
      </c>
      <c r="AC15" s="3">
        <f>IF('Maïs-grain'!G15="",'Intermédiaire_Prod-Résultats'!AB15,'Maïs-grain'!G15)</f>
        <v>296.35000000000002</v>
      </c>
      <c r="AE15" s="3">
        <f>Canola!E15</f>
        <v>174.49</v>
      </c>
      <c r="AF15" s="3">
        <f>IF(Canola!G15="",'Intermédiaire_Prod-Résultats'!AE15,Canola!G15)</f>
        <v>174.49</v>
      </c>
      <c r="AH15" s="3">
        <f>Soya!E15+IF(Saisies!B34="Oui",'Cultures de couverture'!E9,0)</f>
        <v>316.15000000000003</v>
      </c>
      <c r="AI15" s="3">
        <f>IF(Soya!G15="",'Intermédiaire_Prod-Résultats'!AH15,Soya!G15+IF(Saisies!B34="Oui",'Cultures de couverture'!E9,0))</f>
        <v>316.15000000000003</v>
      </c>
      <c r="AK15" s="3">
        <f>Orge!E15</f>
        <v>137.22</v>
      </c>
      <c r="AL15" s="3">
        <f>IF(Orge!G15="",'Intermédiaire_Prod-Résultats'!AK15,Orge!G15)</f>
        <v>137.22</v>
      </c>
      <c r="AN15" s="3">
        <f>Avoine!E15</f>
        <v>97.68</v>
      </c>
      <c r="AO15" s="3">
        <f>IF(Avoine!G15="",'Intermédiaire_Prod-Résultats'!AN15,Avoine!G15)</f>
        <v>97.68</v>
      </c>
      <c r="AQ15" s="3">
        <f>'Blé_d''automne'!E15</f>
        <v>165.61</v>
      </c>
      <c r="AR15" s="3">
        <f>IF('Blé_d''automne'!G15="",'Intermédiaire_Prod-Résultats'!AQ15,'Blé_d''automne'!G15)</f>
        <v>165.61</v>
      </c>
      <c r="AT15" s="3">
        <f>Blé_printemps!E15</f>
        <v>177.4</v>
      </c>
      <c r="AU15" s="3">
        <f>IF(Blé_printemps!G15="",'Intermédiaire_Prod-Résultats'!AT15,Blé_printemps!G15)</f>
        <v>177.4</v>
      </c>
      <c r="AW15" s="3">
        <f>Sarrasin!E15</f>
        <v>60.26</v>
      </c>
      <c r="AX15" s="3">
        <f>IF(Sarrasin!G15="",'Intermédiaire_Prod-Résultats'!AW15,Sarrasin!G15)</f>
        <v>60.26</v>
      </c>
      <c r="AY15" s="42"/>
      <c r="AZ15" s="37">
        <f>'Maïs-grain'!E16</f>
        <v>296.35000000000002</v>
      </c>
      <c r="BA15" s="3">
        <f>IF('Maïs-grain'!G16="",'Intermédiaire_Prod-Résultats'!AZ15,'Maïs-grain'!G16)</f>
        <v>296.35000000000002</v>
      </c>
      <c r="BC15" s="3">
        <f>Canola!E15</f>
        <v>174.49</v>
      </c>
      <c r="BD15" s="3">
        <f>IF(Canola!G15="",'Intermédiaire_Prod-Résultats'!BC15,Canola!G15)</f>
        <v>174.49</v>
      </c>
      <c r="BF15" s="3">
        <f>Soya!E15+IF(Saisies!B34="Oui",'Cultures de couverture'!E9,0)</f>
        <v>316.15000000000003</v>
      </c>
      <c r="BG15" s="3">
        <f>IF(Soya!G15="",'Intermédiaire_Prod-Résultats'!BF15,Soya!G15+IF(Saisies!B34="Oui",'Cultures de couverture'!E9,0))</f>
        <v>316.15000000000003</v>
      </c>
      <c r="BI15" s="3">
        <f>Orge!E15</f>
        <v>137.22</v>
      </c>
      <c r="BJ15" s="3">
        <f>IF(Orge!G15="",'Intermédiaire_Prod-Résultats'!BI15,Orge!G15)</f>
        <v>137.22</v>
      </c>
      <c r="BL15" s="3">
        <f>Avoine!E15</f>
        <v>97.68</v>
      </c>
      <c r="BM15" s="3">
        <f>IF(Avoine!G15="",'Intermédiaire_Prod-Résultats'!BL15,Avoine!G15)</f>
        <v>97.68</v>
      </c>
      <c r="BO15" s="3">
        <f>'Blé_d''automne'!E15</f>
        <v>165.61</v>
      </c>
      <c r="BP15" s="3">
        <f>IF('Blé_d''automne'!G15="",'Intermédiaire_Prod-Résultats'!BO15,'Blé_d''automne'!G15)</f>
        <v>165.61</v>
      </c>
      <c r="BR15" s="3">
        <f>Blé_printemps!E15</f>
        <v>177.4</v>
      </c>
      <c r="BS15" s="3">
        <f>IF(Blé_printemps!G15="",'Intermédiaire_Prod-Résultats'!BR15,Blé_printemps!G15)</f>
        <v>177.4</v>
      </c>
      <c r="BU15" s="3">
        <f>Sarrasin!E15</f>
        <v>60.26</v>
      </c>
      <c r="BV15" s="3">
        <f>IF(Sarrasin!G15="",'Intermédiaire_Prod-Résultats'!BU15,Sarrasin!G15)</f>
        <v>60.26</v>
      </c>
    </row>
    <row r="16" spans="1:74" x14ac:dyDescent="0.25">
      <c r="A16" t="s">
        <v>14</v>
      </c>
      <c r="D16" s="3">
        <f>'Maïs-grain'!E17</f>
        <v>399.03</v>
      </c>
      <c r="E16" s="3">
        <f>IF('Maïs-grain'!G17="",'Intermédiaire_Prod-Résultats'!D16,'Maïs-grain'!G17)</f>
        <v>399.03</v>
      </c>
      <c r="G16" s="3">
        <f>Canola!E16</f>
        <v>268.87</v>
      </c>
      <c r="H16" s="3">
        <f>IF(Canola!G16="",'Intermédiaire_Prod-Résultats'!G16,Canola!G16)</f>
        <v>268.87</v>
      </c>
      <c r="J16" s="3">
        <f>Soya!E16-IF(Saisies!B34="Oui",Saisies!B50*Saisies!B51*Saisies!B59,0)</f>
        <v>47.68</v>
      </c>
      <c r="K16" s="3">
        <f>IF(Soya!G16="",'Intermédiaire_Prod-Résultats'!J16,Soya!G16-IF(Saisies!B34="Oui",IF(Saisies!C50="",Saisies!B50,Saisies!C50)*IF(Saisies!C51="",Saisies!B51,Saisies!C51)*IF(Saisies!C59="",Saisies!B59,Saisies!C59),0))</f>
        <v>47.68</v>
      </c>
      <c r="M16" s="3">
        <f>Orge!E16</f>
        <v>143.56</v>
      </c>
      <c r="N16" s="3">
        <f>IF(Orge!G16="",'Intermédiaire_Prod-Résultats'!M16,Orge!G16)</f>
        <v>143.56</v>
      </c>
      <c r="P16" s="3">
        <f>Avoine!E16</f>
        <v>105.11</v>
      </c>
      <c r="Q16" s="3">
        <f>IF(Avoine!G16="",'Intermédiaire_Prod-Résultats'!P16,Avoine!G16)</f>
        <v>105.11</v>
      </c>
      <c r="S16" s="3">
        <f>'Blé_d''automne'!E16</f>
        <v>193.93</v>
      </c>
      <c r="T16" s="3">
        <f>IF('Blé_d''automne'!G16="",'Intermédiaire_Prod-Résultats'!S16,'Blé_d''automne'!G16)</f>
        <v>193.93</v>
      </c>
      <c r="V16" s="3">
        <f>Blé_printemps!E16</f>
        <v>193.93</v>
      </c>
      <c r="W16" s="3">
        <f>IF(Blé_printemps!G16="",'Intermédiaire_Prod-Résultats'!V16,Blé_printemps!G16)</f>
        <v>193.93</v>
      </c>
      <c r="Y16" s="3">
        <f>Sarrasin!E16</f>
        <v>83.04</v>
      </c>
      <c r="Z16" s="3">
        <f>IF(Sarrasin!G16="",'Intermédiaire_Prod-Résultats'!Y16,Sarrasin!G16)</f>
        <v>83.04</v>
      </c>
      <c r="AA16" s="42"/>
      <c r="AB16" s="37">
        <f>'Maïs-grain'!E17</f>
        <v>399.03</v>
      </c>
      <c r="AC16" s="3">
        <f>IF('Maïs-grain'!G16="",'Intermédiaire_Prod-Résultats'!AB16,'Maïs-grain'!G16)</f>
        <v>399.03</v>
      </c>
      <c r="AE16" s="3">
        <f>Canola!E16</f>
        <v>268.87</v>
      </c>
      <c r="AF16" s="3">
        <f>IF(Canola!G16="",'Intermédiaire_Prod-Résultats'!AE16,Canola!G16)</f>
        <v>268.87</v>
      </c>
      <c r="AH16" s="3">
        <f>Soya!E16-(IF(Saisies!B34="Oui",Saisies!B50*Saisies!B51*Saisies!B60,0))</f>
        <v>20.93</v>
      </c>
      <c r="AI16" s="3">
        <f>IF(Soya!G16="",'Intermédiaire_Prod-Résultats'!AH16,Soya!G16-(IF(Saisies!B34="Oui",IF(Saisies!C50="",Saisies!B50,Saisies!C50)*IF(Saisies!C51="",Saisies!B51,Saisies!C51)*IF(Saisies!C60="",Saisies!B60,Saisies!C60),0)))</f>
        <v>20.93</v>
      </c>
      <c r="AK16" s="3">
        <f>Orge!E16</f>
        <v>143.56</v>
      </c>
      <c r="AL16" s="3">
        <f>IF(Orge!G16="",'Intermédiaire_Prod-Résultats'!AK16,Orge!G16)</f>
        <v>143.56</v>
      </c>
      <c r="AN16" s="3">
        <f>Avoine!E16</f>
        <v>105.11</v>
      </c>
      <c r="AO16" s="3">
        <f>IF(Avoine!G16="",'Intermédiaire_Prod-Résultats'!AN16,Avoine!G16)</f>
        <v>105.11</v>
      </c>
      <c r="AQ16" s="3">
        <f>'Blé_d''automne'!E16</f>
        <v>193.93</v>
      </c>
      <c r="AR16" s="3">
        <f>IF('Blé_d''automne'!G16="",'Intermédiaire_Prod-Résultats'!AQ16,'Blé_d''automne'!G16)</f>
        <v>193.93</v>
      </c>
      <c r="AT16" s="3">
        <f>Blé_printemps!E16</f>
        <v>193.93</v>
      </c>
      <c r="AU16" s="3">
        <f>IF(Blé_printemps!G16="",'Intermédiaire_Prod-Résultats'!AT16,Blé_printemps!G16)</f>
        <v>193.93</v>
      </c>
      <c r="AW16" s="3">
        <f>Sarrasin!E16</f>
        <v>83.04</v>
      </c>
      <c r="AX16" s="3">
        <f>IF(Sarrasin!G16="",'Intermédiaire_Prod-Résultats'!AW16,Sarrasin!G16)</f>
        <v>83.04</v>
      </c>
      <c r="AY16" s="42"/>
      <c r="AZ16" s="37">
        <f>'Maïs-grain'!E17</f>
        <v>399.03</v>
      </c>
      <c r="BA16" s="3">
        <f>IF('Maïs-grain'!G17="",'Intermédiaire_Prod-Résultats'!AZ16,'Maïs-grain'!G17)</f>
        <v>399.03</v>
      </c>
      <c r="BC16" s="3">
        <f>Canola!E16</f>
        <v>268.87</v>
      </c>
      <c r="BD16" s="3">
        <f>IF(Canola!G16="",'Intermédiaire_Prod-Résultats'!BC16,Canola!G16)</f>
        <v>268.87</v>
      </c>
      <c r="BF16" s="3">
        <f>Soya!E16-(IF(Saisies!B34="Oui",Saisies!B50*Saisies!B51*Saisies!B61,0))</f>
        <v>-5.82</v>
      </c>
      <c r="BG16" s="3">
        <f>IF(Soya!G16="",'Intermédiaire_Prod-Résultats'!BF16,Soya!G16-(IF(Saisies!B34="Oui",IF(Saisies!C50="",Saisies!B50,Saisies!C50)*IF(Saisies!C51="",Saisies!B51,Saisies!C51)*IF(Saisies!C61="",Saisies!B61,Saisies!C61),0)))</f>
        <v>-5.82</v>
      </c>
      <c r="BI16" s="3">
        <f>Orge!E16</f>
        <v>143.56</v>
      </c>
      <c r="BJ16" s="3">
        <f>IF(Orge!G16="",'Intermédiaire_Prod-Résultats'!BI16,Orge!G16)</f>
        <v>143.56</v>
      </c>
      <c r="BL16" s="3">
        <f>Avoine!E16</f>
        <v>105.11</v>
      </c>
      <c r="BM16" s="3">
        <f>IF(Avoine!G16="",'Intermédiaire_Prod-Résultats'!BL16,Avoine!G16)</f>
        <v>105.11</v>
      </c>
      <c r="BO16" s="3">
        <f>'Blé_d''automne'!E16</f>
        <v>193.93</v>
      </c>
      <c r="BP16" s="3">
        <f>IF('Blé_d''automne'!G16="",'Intermédiaire_Prod-Résultats'!BO16,'Blé_d''automne'!G16)</f>
        <v>193.93</v>
      </c>
      <c r="BR16" s="3">
        <f>Blé_printemps!E16</f>
        <v>193.93</v>
      </c>
      <c r="BS16" s="3">
        <f>IF(Blé_printemps!G16="",'Intermédiaire_Prod-Résultats'!BR16,Blé_printemps!G16)</f>
        <v>193.93</v>
      </c>
      <c r="BU16" s="3">
        <f>Sarrasin!E16</f>
        <v>83.04</v>
      </c>
      <c r="BV16" s="3">
        <f>IF(Sarrasin!G16="",'Intermédiaire_Prod-Résultats'!BU16,Sarrasin!G16)</f>
        <v>83.04</v>
      </c>
    </row>
    <row r="17" spans="1:74" x14ac:dyDescent="0.25">
      <c r="A17" t="s">
        <v>15</v>
      </c>
      <c r="D17" s="3">
        <f>'Maïs-grain'!E18</f>
        <v>7.31</v>
      </c>
      <c r="E17" s="3">
        <f>IF('Maïs-grain'!G18="",'Intermédiaire_Prod-Résultats'!D17,'Maïs-grain'!G18)</f>
        <v>7.31</v>
      </c>
      <c r="G17" s="3">
        <f>Canola!E17</f>
        <v>8.99</v>
      </c>
      <c r="H17" s="3">
        <f>IF(Canola!G17="",'Intermédiaire_Prod-Résultats'!G17,Canola!G17)</f>
        <v>8.99</v>
      </c>
      <c r="J17" s="3">
        <f>Soya!E17</f>
        <v>2.69</v>
      </c>
      <c r="K17" s="3">
        <f>IF(Soya!G17="",'Intermédiaire_Prod-Résultats'!J17,Soya!G17)</f>
        <v>2.69</v>
      </c>
      <c r="M17" s="3">
        <f>Orge!E17</f>
        <v>4.8899999999999997</v>
      </c>
      <c r="N17" s="3">
        <f>IF(Orge!G17="",'Intermédiaire_Prod-Résultats'!M17,Orge!G17)</f>
        <v>4.8899999999999997</v>
      </c>
      <c r="P17" s="3">
        <f>Avoine!E17</f>
        <v>7.21</v>
      </c>
      <c r="Q17" s="3">
        <f>IF(Avoine!G17="",'Intermédiaire_Prod-Résultats'!P17,Avoine!G17)</f>
        <v>7.21</v>
      </c>
      <c r="S17" s="3">
        <f>'Blé_d''automne'!E17</f>
        <v>4.7</v>
      </c>
      <c r="T17" s="3">
        <f>IF('Blé_d''automne'!G17="",'Intermédiaire_Prod-Résultats'!S17,'Blé_d''automne'!G17)</f>
        <v>4.7</v>
      </c>
      <c r="V17" s="3">
        <f>Blé_printemps!E17</f>
        <v>4.7</v>
      </c>
      <c r="W17" s="3">
        <f>IF(Blé_printemps!G17="",'Intermédiaire_Prod-Résultats'!V17,Blé_printemps!G17)</f>
        <v>4.7</v>
      </c>
      <c r="Y17" s="3">
        <f>Sarrasin!E17</f>
        <v>0</v>
      </c>
      <c r="Z17" s="3">
        <f>IF(Sarrasin!G17="",'Intermédiaire_Prod-Résultats'!Y17,Sarrasin!G17)</f>
        <v>0</v>
      </c>
      <c r="AA17" s="42"/>
      <c r="AB17" s="37">
        <f>'Maïs-grain'!E18</f>
        <v>7.31</v>
      </c>
      <c r="AC17" s="3">
        <f>IF('Maïs-grain'!G17="",'Intermédiaire_Prod-Résultats'!AB17,'Maïs-grain'!G17)</f>
        <v>7.31</v>
      </c>
      <c r="AE17" s="3">
        <f>Canola!E17</f>
        <v>8.99</v>
      </c>
      <c r="AF17" s="3">
        <f>IF(Canola!G17="",'Intermédiaire_Prod-Résultats'!AE17,Canola!G17)</f>
        <v>8.99</v>
      </c>
      <c r="AH17" s="3">
        <f>Soya!E17</f>
        <v>2.69</v>
      </c>
      <c r="AI17" s="3">
        <f>IF(Soya!G17="",'Intermédiaire_Prod-Résultats'!AH17,Soya!G17)</f>
        <v>2.69</v>
      </c>
      <c r="AK17" s="3">
        <f>Orge!E17</f>
        <v>4.8899999999999997</v>
      </c>
      <c r="AL17" s="3">
        <f>IF(Orge!G17="",'Intermédiaire_Prod-Résultats'!AK17,Orge!G17)</f>
        <v>4.8899999999999997</v>
      </c>
      <c r="AN17" s="3">
        <f>Avoine!E17</f>
        <v>7.21</v>
      </c>
      <c r="AO17" s="3">
        <f>IF(Avoine!G17="",'Intermédiaire_Prod-Résultats'!AN17,Avoine!G17)</f>
        <v>7.21</v>
      </c>
      <c r="AQ17" s="3">
        <f>'Blé_d''automne'!E17</f>
        <v>4.7</v>
      </c>
      <c r="AR17" s="3">
        <f>IF('Blé_d''automne'!G17="",'Intermédiaire_Prod-Résultats'!AQ17,'Blé_d''automne'!G17)</f>
        <v>4.7</v>
      </c>
      <c r="AT17" s="3">
        <f>Blé_printemps!E17</f>
        <v>4.7</v>
      </c>
      <c r="AU17" s="3">
        <f>IF(Blé_printemps!G17="",'Intermédiaire_Prod-Résultats'!AT17,Blé_printemps!G17)</f>
        <v>4.7</v>
      </c>
      <c r="AW17" s="3">
        <f>Sarrasin!E17</f>
        <v>0</v>
      </c>
      <c r="AX17" s="3">
        <f>IF(Sarrasin!G17="",'Intermédiaire_Prod-Résultats'!AW17,Sarrasin!G17)</f>
        <v>0</v>
      </c>
      <c r="AY17" s="42"/>
      <c r="AZ17" s="37">
        <f>'Maïs-grain'!E18</f>
        <v>7.31</v>
      </c>
      <c r="BA17" s="3">
        <f>IF('Maïs-grain'!G18="",'Intermédiaire_Prod-Résultats'!AZ17,'Maïs-grain'!G18)</f>
        <v>7.31</v>
      </c>
      <c r="BC17" s="3">
        <f>Canola!E17</f>
        <v>8.99</v>
      </c>
      <c r="BD17" s="3">
        <f>IF(Canola!G17="",'Intermédiaire_Prod-Résultats'!BC17,Canola!G17)</f>
        <v>8.99</v>
      </c>
      <c r="BF17" s="3">
        <f>Soya!E17</f>
        <v>2.69</v>
      </c>
      <c r="BG17" s="3">
        <f>IF(Soya!G17="",'Intermédiaire_Prod-Résultats'!BF17,Soya!G17)</f>
        <v>2.69</v>
      </c>
      <c r="BI17" s="3">
        <f>Orge!E17</f>
        <v>4.8899999999999997</v>
      </c>
      <c r="BJ17" s="3">
        <f>IF(Orge!G17="",'Intermédiaire_Prod-Résultats'!BI17,Orge!G17)</f>
        <v>4.8899999999999997</v>
      </c>
      <c r="BL17" s="3">
        <f>Avoine!E17</f>
        <v>7.21</v>
      </c>
      <c r="BM17" s="3">
        <f>IF(Avoine!G17="",'Intermédiaire_Prod-Résultats'!BL17,Avoine!G17)</f>
        <v>7.21</v>
      </c>
      <c r="BO17" s="3">
        <f>'Blé_d''automne'!E17</f>
        <v>4.7</v>
      </c>
      <c r="BP17" s="3">
        <f>IF('Blé_d''automne'!G17="",'Intermédiaire_Prod-Résultats'!BO17,'Blé_d''automne'!G17)</f>
        <v>4.7</v>
      </c>
      <c r="BR17" s="3">
        <f>Blé_printemps!E17</f>
        <v>4.7</v>
      </c>
      <c r="BS17" s="3">
        <f>IF(Blé_printemps!G17="",'Intermédiaire_Prod-Résultats'!BR17,Blé_printemps!G17)</f>
        <v>4.7</v>
      </c>
      <c r="BU17" s="3">
        <f>Sarrasin!E17</f>
        <v>0</v>
      </c>
      <c r="BV17" s="3">
        <f>IF(Sarrasin!G17="",'Intermédiaire_Prod-Résultats'!BU17,Sarrasin!G17)</f>
        <v>0</v>
      </c>
    </row>
    <row r="18" spans="1:74" x14ac:dyDescent="0.25">
      <c r="A18" t="s">
        <v>16</v>
      </c>
      <c r="D18" s="3">
        <f>'Maïs-grain'!E19</f>
        <v>60.69</v>
      </c>
      <c r="E18" s="3">
        <f>IF('Maïs-grain'!G19="",'Intermédiaire_Prod-Résultats'!D18,'Maïs-grain'!G19)</f>
        <v>60.69</v>
      </c>
      <c r="G18" s="3">
        <f>Canola!E18</f>
        <v>70.78</v>
      </c>
      <c r="H18" s="3">
        <f>IF(Canola!G18="",'Intermédiaire_Prod-Résultats'!G18,Canola!G18)</f>
        <v>70.78</v>
      </c>
      <c r="J18" s="3">
        <f>Soya!E18</f>
        <v>93.36</v>
      </c>
      <c r="K18" s="3">
        <f>IF(Soya!G18="",'Intermédiaire_Prod-Résultats'!J18,Soya!G18)</f>
        <v>93.36</v>
      </c>
      <c r="M18" s="3">
        <f>Orge!E18</f>
        <v>44.38</v>
      </c>
      <c r="N18" s="3">
        <f>IF(Orge!G18="",'Intermédiaire_Prod-Résultats'!M18,Orge!G18)</f>
        <v>44.38</v>
      </c>
      <c r="P18" s="3">
        <f>Avoine!E18</f>
        <v>25.32</v>
      </c>
      <c r="Q18" s="3">
        <f>IF(Avoine!G18="",'Intermédiaire_Prod-Résultats'!P18,Avoine!G18)</f>
        <v>25.32</v>
      </c>
      <c r="S18" s="3">
        <f>'Blé_d''automne'!E18</f>
        <v>34.130000000000003</v>
      </c>
      <c r="T18" s="3">
        <f>IF('Blé_d''automne'!G18="",'Intermédiaire_Prod-Résultats'!S18,'Blé_d''automne'!G18)</f>
        <v>34.130000000000003</v>
      </c>
      <c r="V18" s="3">
        <f>Blé_printemps!E18</f>
        <v>60.95</v>
      </c>
      <c r="W18" s="3">
        <f>IF(Blé_printemps!G18="",'Intermédiaire_Prod-Résultats'!V18,Blé_printemps!G18)</f>
        <v>60.95</v>
      </c>
      <c r="Y18" s="3">
        <f>Sarrasin!E18</f>
        <v>0</v>
      </c>
      <c r="Z18" s="3">
        <f>IF(Sarrasin!G18="",'Intermédiaire_Prod-Résultats'!Y18,Sarrasin!G18)</f>
        <v>0</v>
      </c>
      <c r="AA18" s="42"/>
      <c r="AB18" s="37">
        <f>'Maïs-grain'!E19</f>
        <v>60.69</v>
      </c>
      <c r="AC18" s="3">
        <f>IF('Maïs-grain'!G18="",'Intermédiaire_Prod-Résultats'!AB18,'Maïs-grain'!G18)</f>
        <v>60.69</v>
      </c>
      <c r="AE18" s="3">
        <f>Canola!E18</f>
        <v>70.78</v>
      </c>
      <c r="AF18" s="3">
        <f>IF(Canola!G18="",'Intermédiaire_Prod-Résultats'!AE18,Canola!G18)</f>
        <v>70.78</v>
      </c>
      <c r="AH18" s="3">
        <f>Soya!E18</f>
        <v>93.36</v>
      </c>
      <c r="AI18" s="3">
        <f>IF(Soya!G18="",'Intermédiaire_Prod-Résultats'!AH18,Soya!G18)</f>
        <v>93.36</v>
      </c>
      <c r="AK18" s="3">
        <f>Orge!E18</f>
        <v>44.38</v>
      </c>
      <c r="AL18" s="3">
        <f>IF(Orge!G18="",'Intermédiaire_Prod-Résultats'!AK18,Orge!G18)</f>
        <v>44.38</v>
      </c>
      <c r="AN18" s="3">
        <f>Avoine!E18</f>
        <v>25.32</v>
      </c>
      <c r="AO18" s="3">
        <f>IF(Avoine!G18="",'Intermédiaire_Prod-Résultats'!AN18,Avoine!G18)</f>
        <v>25.32</v>
      </c>
      <c r="AQ18" s="3">
        <f>'Blé_d''automne'!E18</f>
        <v>34.130000000000003</v>
      </c>
      <c r="AR18" s="3">
        <f>IF('Blé_d''automne'!G18="",'Intermédiaire_Prod-Résultats'!AQ18,'Blé_d''automne'!G18)</f>
        <v>34.130000000000003</v>
      </c>
      <c r="AT18" s="3">
        <f>Blé_printemps!E18</f>
        <v>60.95</v>
      </c>
      <c r="AU18" s="3">
        <f>IF(Blé_printemps!G18="",'Intermédiaire_Prod-Résultats'!AT18,Blé_printemps!G18)</f>
        <v>60.95</v>
      </c>
      <c r="AW18" s="3">
        <f>Sarrasin!E18</f>
        <v>0</v>
      </c>
      <c r="AX18" s="3">
        <f>IF(Sarrasin!G18="",'Intermédiaire_Prod-Résultats'!AW18,Sarrasin!G18)</f>
        <v>0</v>
      </c>
      <c r="AY18" s="42"/>
      <c r="AZ18" s="37">
        <f>'Maïs-grain'!E19</f>
        <v>60.69</v>
      </c>
      <c r="BA18" s="3">
        <f>IF('Maïs-grain'!G19="",'Intermédiaire_Prod-Résultats'!AZ18,'Maïs-grain'!G19)</f>
        <v>60.69</v>
      </c>
      <c r="BC18" s="3">
        <f>Canola!E18</f>
        <v>70.78</v>
      </c>
      <c r="BD18" s="3">
        <f>IF(Canola!G18="",'Intermédiaire_Prod-Résultats'!BC18,Canola!G18)</f>
        <v>70.78</v>
      </c>
      <c r="BF18" s="3">
        <f>Soya!E18</f>
        <v>93.36</v>
      </c>
      <c r="BG18" s="3">
        <f>IF(Soya!G18="",'Intermédiaire_Prod-Résultats'!BF18,Soya!G18)</f>
        <v>93.36</v>
      </c>
      <c r="BI18" s="3">
        <f>Orge!E18</f>
        <v>44.38</v>
      </c>
      <c r="BJ18" s="3">
        <f>IF(Orge!G18="",'Intermédiaire_Prod-Résultats'!BI18,Orge!G18)</f>
        <v>44.38</v>
      </c>
      <c r="BL18" s="3">
        <f>Avoine!E18</f>
        <v>25.32</v>
      </c>
      <c r="BM18" s="3">
        <f>IF(Avoine!G18="",'Intermédiaire_Prod-Résultats'!BL18,Avoine!G18)</f>
        <v>25.32</v>
      </c>
      <c r="BO18" s="3">
        <f>'Blé_d''automne'!E18</f>
        <v>34.130000000000003</v>
      </c>
      <c r="BP18" s="3">
        <f>IF('Blé_d''automne'!G18="",'Intermédiaire_Prod-Résultats'!BO18,'Blé_d''automne'!G18)</f>
        <v>34.130000000000003</v>
      </c>
      <c r="BR18" s="3">
        <f>Blé_printemps!E18</f>
        <v>60.95</v>
      </c>
      <c r="BS18" s="3">
        <f>IF(Blé_printemps!G18="",'Intermédiaire_Prod-Résultats'!BR18,Blé_printemps!G18)</f>
        <v>60.95</v>
      </c>
      <c r="BU18" s="3">
        <f>Sarrasin!E18</f>
        <v>0</v>
      </c>
      <c r="BV18" s="3">
        <f>IF(Sarrasin!G18="",'Intermédiaire_Prod-Résultats'!BU18,Sarrasin!G18)</f>
        <v>0</v>
      </c>
    </row>
    <row r="19" spans="1:74" x14ac:dyDescent="0.25">
      <c r="A19" t="s">
        <v>17</v>
      </c>
      <c r="D19" s="3">
        <f>'Maïs-grain'!E21</f>
        <v>7.12</v>
      </c>
      <c r="E19" s="3">
        <f>IF('Maïs-grain'!G21="",'Intermédiaire_Prod-Résultats'!D19,'Maïs-grain'!G21)</f>
        <v>7.12</v>
      </c>
      <c r="G19" s="3">
        <f>Canola!E20</f>
        <v>25.46</v>
      </c>
      <c r="H19" s="3">
        <f>IF(Canola!G20="",'Intermédiaire_Prod-Résultats'!G19,Canola!G20)</f>
        <v>25.46</v>
      </c>
      <c r="J19" s="3">
        <f>Soya!E20</f>
        <v>10.63</v>
      </c>
      <c r="K19" s="3">
        <f>IF(Soya!G20="",'Intermédiaire_Prod-Résultats'!J19,Soya!G20)</f>
        <v>10.63</v>
      </c>
      <c r="M19" s="3">
        <f>Orge!E20</f>
        <v>13.28</v>
      </c>
      <c r="N19" s="3">
        <f>IF(Orge!G20="",'Intermédiaire_Prod-Résultats'!M19,Orge!G20)</f>
        <v>13.28</v>
      </c>
      <c r="P19" s="3">
        <f>Avoine!E20</f>
        <v>18.170000000000002</v>
      </c>
      <c r="Q19" s="3">
        <f>IF(Avoine!G20="",'Intermédiaire_Prod-Résultats'!P19,Avoine!G20)</f>
        <v>18.170000000000002</v>
      </c>
      <c r="S19" s="3">
        <f>'Blé_d''automne'!E20</f>
        <v>7.55</v>
      </c>
      <c r="T19" s="3">
        <f>IF('Blé_d''automne'!G20="",'Intermédiaire_Prod-Résultats'!S19,'Blé_d''automne'!G20)</f>
        <v>7.55</v>
      </c>
      <c r="V19" s="3">
        <f>Blé_printemps!E20</f>
        <v>7.55</v>
      </c>
      <c r="W19" s="3">
        <f>IF(Blé_printemps!G20="",'Intermédiaire_Prod-Résultats'!V19,Blé_printemps!G20)</f>
        <v>7.55</v>
      </c>
      <c r="Y19" s="3">
        <f>Sarrasin!E20</f>
        <v>67.88</v>
      </c>
      <c r="Z19" s="3">
        <f>IF(Sarrasin!G20="",'Intermédiaire_Prod-Résultats'!Y19,Sarrasin!G20)</f>
        <v>67.88</v>
      </c>
      <c r="AA19" s="42"/>
      <c r="AB19" s="37">
        <f>'Maïs-grain'!E21</f>
        <v>7.12</v>
      </c>
      <c r="AC19" s="3">
        <f>IF('Maïs-grain'!G21="",'Intermédiaire_Prod-Résultats'!AB19,'Maïs-grain'!G21)</f>
        <v>7.12</v>
      </c>
      <c r="AE19" s="3">
        <f>Canola!E20</f>
        <v>25.46</v>
      </c>
      <c r="AF19" s="3">
        <f>IF(Canola!G20="",'Intermédiaire_Prod-Résultats'!AE19,Canola!G20)</f>
        <v>25.46</v>
      </c>
      <c r="AH19" s="3">
        <f>Soya!E20</f>
        <v>10.63</v>
      </c>
      <c r="AI19" s="3">
        <f>IF(Soya!G20="",'Intermédiaire_Prod-Résultats'!AH19,Soya!G20)</f>
        <v>10.63</v>
      </c>
      <c r="AK19" s="3">
        <f>Orge!E20</f>
        <v>13.28</v>
      </c>
      <c r="AL19" s="3">
        <f>IF(Orge!G20="",'Intermédiaire_Prod-Résultats'!AK19,Orge!G20)</f>
        <v>13.28</v>
      </c>
      <c r="AN19" s="3">
        <f>Avoine!E20</f>
        <v>18.170000000000002</v>
      </c>
      <c r="AO19" s="3">
        <f>IF(Avoine!G20="",'Intermédiaire_Prod-Résultats'!AN19,Avoine!G20)</f>
        <v>18.170000000000002</v>
      </c>
      <c r="AQ19" s="3">
        <f>'Blé_d''automne'!E20</f>
        <v>7.55</v>
      </c>
      <c r="AR19" s="3">
        <f>IF('Blé_d''automne'!G20="",'Intermédiaire_Prod-Résultats'!AQ19,'Blé_d''automne'!G20)</f>
        <v>7.55</v>
      </c>
      <c r="AT19" s="3">
        <f>Blé_printemps!E20</f>
        <v>7.55</v>
      </c>
      <c r="AU19" s="3">
        <f>IF(Blé_printemps!G20="",'Intermédiaire_Prod-Résultats'!AT19,Blé_printemps!G20)</f>
        <v>7.55</v>
      </c>
      <c r="AW19" s="3">
        <f>Sarrasin!E20</f>
        <v>67.88</v>
      </c>
      <c r="AX19" s="3">
        <f>IF(Sarrasin!G20="",'Intermédiaire_Prod-Résultats'!AW19,Sarrasin!G20)</f>
        <v>67.88</v>
      </c>
      <c r="AY19" s="42"/>
      <c r="AZ19" s="37">
        <f>'Maïs-grain'!E21</f>
        <v>7.12</v>
      </c>
      <c r="BA19" s="3">
        <f>IF('Maïs-grain'!G21="",'Intermédiaire_Prod-Résultats'!AZ19,'Maïs-grain'!G21)</f>
        <v>7.12</v>
      </c>
      <c r="BC19" s="3">
        <f>Canola!E20</f>
        <v>25.46</v>
      </c>
      <c r="BD19" s="3">
        <f>IF(Canola!G20="",'Intermédiaire_Prod-Résultats'!BC19,Canola!G20)</f>
        <v>25.46</v>
      </c>
      <c r="BF19" s="3">
        <f>Soya!E20</f>
        <v>10.63</v>
      </c>
      <c r="BG19" s="3">
        <f>IF(Soya!G20="",'Intermédiaire_Prod-Résultats'!BF19,Soya!G20)</f>
        <v>10.63</v>
      </c>
      <c r="BI19" s="3">
        <f>Orge!E20</f>
        <v>13.28</v>
      </c>
      <c r="BJ19" s="3">
        <f>IF(Orge!G20="",'Intermédiaire_Prod-Résultats'!BI19,Orge!G20)</f>
        <v>13.28</v>
      </c>
      <c r="BL19" s="3">
        <f>Avoine!E20</f>
        <v>18.170000000000002</v>
      </c>
      <c r="BM19" s="3">
        <f>IF(Avoine!G20="",'Intermédiaire_Prod-Résultats'!BL19,Avoine!G20)</f>
        <v>18.170000000000002</v>
      </c>
      <c r="BO19" s="3">
        <f>'Blé_d''automne'!E20</f>
        <v>7.55</v>
      </c>
      <c r="BP19" s="3">
        <f>IF('Blé_d''automne'!G20="",'Intermédiaire_Prod-Résultats'!BO19,'Blé_d''automne'!G20)</f>
        <v>7.55</v>
      </c>
      <c r="BR19" s="3">
        <f>Blé_printemps!E20</f>
        <v>7.55</v>
      </c>
      <c r="BS19" s="3">
        <f>IF(Blé_printemps!G20="",'Intermédiaire_Prod-Résultats'!BR19,Blé_printemps!G20)</f>
        <v>7.55</v>
      </c>
      <c r="BU19" s="3">
        <f>Sarrasin!E20</f>
        <v>67.88</v>
      </c>
      <c r="BV19" s="3">
        <f>IF(Sarrasin!G20="",'Intermédiaire_Prod-Résultats'!BU19,Sarrasin!G20)</f>
        <v>67.88</v>
      </c>
    </row>
    <row r="20" spans="1:74" x14ac:dyDescent="0.25">
      <c r="A20" t="s">
        <v>18</v>
      </c>
      <c r="D20" s="3">
        <f>'Maïs-grain'!E22</f>
        <v>125.6</v>
      </c>
      <c r="E20" s="3">
        <f>IF('Maïs-grain'!G22="",'Intermédiaire_Prod-Résultats'!D20,'Maïs-grain'!G22)</f>
        <v>125.6</v>
      </c>
      <c r="G20" s="3">
        <f>Canola!E21</f>
        <v>47.58</v>
      </c>
      <c r="H20" s="3">
        <f>IF(Canola!G21="",'Intermédiaire_Prod-Résultats'!G20,Canola!G21)</f>
        <v>47.58</v>
      </c>
      <c r="J20" s="3">
        <f>Soya!E21</f>
        <v>125.62</v>
      </c>
      <c r="K20" s="3">
        <f>IF(Soya!G21="",'Intermédiaire_Prod-Résultats'!J20,Soya!G21)</f>
        <v>125.62</v>
      </c>
      <c r="M20" s="3">
        <f>Orge!E21</f>
        <v>22.08</v>
      </c>
      <c r="N20" s="3">
        <f>IF(Orge!G21="",'Intermédiaire_Prod-Résultats'!M20,Orge!G21)</f>
        <v>22.08</v>
      </c>
      <c r="P20" s="3">
        <f>Avoine!E21</f>
        <v>22.45</v>
      </c>
      <c r="Q20" s="3">
        <f>IF(Avoine!G21="",'Intermédiaire_Prod-Résultats'!P20,Avoine!G21)</f>
        <v>22.45</v>
      </c>
      <c r="S20" s="3">
        <f>'Blé_d''automne'!E21</f>
        <v>37.01</v>
      </c>
      <c r="T20" s="3">
        <f>IF('Blé_d''automne'!G21="",'Intermédiaire_Prod-Résultats'!S20,'Blé_d''automne'!G21)</f>
        <v>37.01</v>
      </c>
      <c r="V20" s="3">
        <f>Blé_printemps!E21</f>
        <v>37.01</v>
      </c>
      <c r="W20" s="3">
        <f>IF(Blé_printemps!G21="",'Intermédiaire_Prod-Résultats'!V20,Blé_printemps!G21)</f>
        <v>37.01</v>
      </c>
      <c r="Y20" s="3">
        <f>Sarrasin!E21</f>
        <v>0</v>
      </c>
      <c r="Z20" s="3">
        <f>IF(Sarrasin!G21="",'Intermédiaire_Prod-Résultats'!Y20,Sarrasin!G21)</f>
        <v>0</v>
      </c>
      <c r="AA20" s="42"/>
      <c r="AB20" s="37">
        <f>'Maïs-grain'!E22</f>
        <v>125.6</v>
      </c>
      <c r="AC20" s="3">
        <f>IF('Maïs-grain'!G22="",'Intermédiaire_Prod-Résultats'!AB20,'Maïs-grain'!G22)</f>
        <v>125.6</v>
      </c>
      <c r="AE20" s="3">
        <f>Canola!E21</f>
        <v>47.58</v>
      </c>
      <c r="AF20" s="3">
        <f>IF(Canola!G21="",'Intermédiaire_Prod-Résultats'!AE20,Canola!G21)</f>
        <v>47.58</v>
      </c>
      <c r="AH20" s="3">
        <f>Soya!E21</f>
        <v>125.62</v>
      </c>
      <c r="AI20" s="3">
        <f>IF(Soya!G21="",'Intermédiaire_Prod-Résultats'!AH20,Soya!G21)</f>
        <v>125.62</v>
      </c>
      <c r="AK20" s="3">
        <f>Orge!E21</f>
        <v>22.08</v>
      </c>
      <c r="AL20" s="3">
        <f>IF(Orge!G21="",'Intermédiaire_Prod-Résultats'!AK20,Orge!G21)</f>
        <v>22.08</v>
      </c>
      <c r="AN20" s="3">
        <f>Avoine!E21</f>
        <v>22.45</v>
      </c>
      <c r="AO20" s="3">
        <f>IF(Avoine!G21="",'Intermédiaire_Prod-Résultats'!AN20,Avoine!G21)</f>
        <v>22.45</v>
      </c>
      <c r="AQ20" s="3">
        <f>'Blé_d''automne'!E21</f>
        <v>37.01</v>
      </c>
      <c r="AR20" s="3">
        <f>IF('Blé_d''automne'!G21="",'Intermédiaire_Prod-Résultats'!AQ20,'Blé_d''automne'!G21)</f>
        <v>37.01</v>
      </c>
      <c r="AT20" s="3">
        <f>Blé_printemps!E21</f>
        <v>37.01</v>
      </c>
      <c r="AU20" s="3">
        <f>IF(Blé_printemps!G21="",'Intermédiaire_Prod-Résultats'!AT20,Blé_printemps!G21)</f>
        <v>37.01</v>
      </c>
      <c r="AW20" s="3">
        <f>Sarrasin!E21</f>
        <v>0</v>
      </c>
      <c r="AX20" s="3">
        <f>IF(Sarrasin!G21="",'Intermédiaire_Prod-Résultats'!AW20,Sarrasin!G21)</f>
        <v>0</v>
      </c>
      <c r="AY20" s="42"/>
      <c r="AZ20" s="37">
        <f>'Maïs-grain'!E22</f>
        <v>125.6</v>
      </c>
      <c r="BA20" s="3">
        <f>IF('Maïs-grain'!G22="",'Intermédiaire_Prod-Résultats'!AZ20,'Maïs-grain'!G22)</f>
        <v>125.6</v>
      </c>
      <c r="BC20" s="3">
        <f>Canola!E21</f>
        <v>47.58</v>
      </c>
      <c r="BD20" s="3">
        <f>IF(Canola!G21="",'Intermédiaire_Prod-Résultats'!BC20,Canola!G21)</f>
        <v>47.58</v>
      </c>
      <c r="BF20" s="3">
        <f>Soya!E21</f>
        <v>125.62</v>
      </c>
      <c r="BG20" s="3">
        <f>IF(Soya!G21="",'Intermédiaire_Prod-Résultats'!BF20,Soya!G21)</f>
        <v>125.62</v>
      </c>
      <c r="BI20" s="3">
        <f>Orge!E21</f>
        <v>22.08</v>
      </c>
      <c r="BJ20" s="3">
        <f>IF(Orge!G21="",'Intermédiaire_Prod-Résultats'!BI20,Orge!G21)</f>
        <v>22.08</v>
      </c>
      <c r="BL20" s="3">
        <f>Avoine!E21</f>
        <v>22.45</v>
      </c>
      <c r="BM20" s="3">
        <f>IF(Avoine!G21="",'Intermédiaire_Prod-Résultats'!BL20,Avoine!G21)</f>
        <v>22.45</v>
      </c>
      <c r="BO20" s="3">
        <f>'Blé_d''automne'!E21</f>
        <v>37.01</v>
      </c>
      <c r="BP20" s="3">
        <f>IF('Blé_d''automne'!G21="",'Intermédiaire_Prod-Résultats'!BO20,'Blé_d''automne'!G21)</f>
        <v>37.01</v>
      </c>
      <c r="BR20" s="3">
        <f>Blé_printemps!E21</f>
        <v>37.01</v>
      </c>
      <c r="BS20" s="3">
        <f>IF(Blé_printemps!G21="",'Intermédiaire_Prod-Résultats'!BR20,Blé_printemps!G21)</f>
        <v>37.01</v>
      </c>
      <c r="BU20" s="3">
        <f>Sarrasin!E21</f>
        <v>0</v>
      </c>
      <c r="BV20" s="3">
        <f>IF(Sarrasin!G21="",'Intermédiaire_Prod-Résultats'!BU20,Sarrasin!G21)</f>
        <v>0</v>
      </c>
    </row>
    <row r="21" spans="1:74" x14ac:dyDescent="0.25">
      <c r="A21" t="s">
        <v>19</v>
      </c>
      <c r="D21" s="3">
        <f>'Maïs-grain'!E23</f>
        <v>79.930000000000007</v>
      </c>
      <c r="E21" s="3">
        <f>IF('Maïs-grain'!G23="",'Intermédiaire_Prod-Résultats'!D21,'Maïs-grain'!G23)</f>
        <v>79.930000000000007</v>
      </c>
      <c r="G21" s="3">
        <f>Canola!E22</f>
        <v>20.18</v>
      </c>
      <c r="H21" s="3">
        <f>IF(Canola!G22="",'Intermédiaire_Prod-Résultats'!G21,Canola!G22)</f>
        <v>20.18</v>
      </c>
      <c r="J21" s="3">
        <f>Soya!E22</f>
        <v>39.549999999999997</v>
      </c>
      <c r="K21" s="3">
        <f>IF(Soya!G22="",'Intermédiaire_Prod-Résultats'!J21,Soya!G22)</f>
        <v>39.549999999999997</v>
      </c>
      <c r="M21" s="3">
        <f>Orge!E22</f>
        <v>4.9800000000000004</v>
      </c>
      <c r="N21" s="3">
        <f>IF(Orge!G22="",'Intermédiaire_Prod-Résultats'!M21,Orge!G22)</f>
        <v>4.9800000000000004</v>
      </c>
      <c r="P21" s="3">
        <f>Avoine!E22</f>
        <v>12.2</v>
      </c>
      <c r="Q21" s="3">
        <f>IF(Avoine!G22="",'Intermédiaire_Prod-Résultats'!P21,Avoine!G22)</f>
        <v>12.2</v>
      </c>
      <c r="S21" s="3">
        <f>'Blé_d''automne'!E22</f>
        <v>1.1599999999999999</v>
      </c>
      <c r="T21" s="3">
        <f>IF('Blé_d''automne'!G22="",'Intermédiaire_Prod-Résultats'!S21,'Blé_d''automne'!G22)</f>
        <v>1.1599999999999999</v>
      </c>
      <c r="V21" s="3">
        <f>Blé_printemps!E22</f>
        <v>1.1599999999999999</v>
      </c>
      <c r="W21" s="3">
        <f>IF(Blé_printemps!G22="",'Intermédiaire_Prod-Résultats'!V21,Blé_printemps!G22)</f>
        <v>1.1599999999999999</v>
      </c>
      <c r="Y21" s="3">
        <f>Sarrasin!E22</f>
        <v>0</v>
      </c>
      <c r="Z21" s="3">
        <f>IF(Sarrasin!G22="",'Intermédiaire_Prod-Résultats'!Y21,Sarrasin!G22)</f>
        <v>0</v>
      </c>
      <c r="AA21" s="42"/>
      <c r="AB21" s="37">
        <f>'Maïs-grain'!E23</f>
        <v>79.930000000000007</v>
      </c>
      <c r="AC21" s="3">
        <f>IF('Maïs-grain'!G23="",'Intermédiaire_Prod-Résultats'!AB21,'Maïs-grain'!G23)</f>
        <v>79.930000000000007</v>
      </c>
      <c r="AE21" s="3">
        <f>Canola!E22</f>
        <v>20.18</v>
      </c>
      <c r="AF21" s="3">
        <f>IF(Canola!G22="",'Intermédiaire_Prod-Résultats'!AE21,Canola!G22)</f>
        <v>20.18</v>
      </c>
      <c r="AH21" s="3">
        <f>Soya!E22</f>
        <v>39.549999999999997</v>
      </c>
      <c r="AI21" s="3">
        <f>IF(Soya!G22="",'Intermédiaire_Prod-Résultats'!AH21,Soya!G22)</f>
        <v>39.549999999999997</v>
      </c>
      <c r="AK21" s="3">
        <f>Orge!E22</f>
        <v>4.9800000000000004</v>
      </c>
      <c r="AL21" s="3">
        <f>IF(Orge!G22="",'Intermédiaire_Prod-Résultats'!AK21,Orge!G22)</f>
        <v>4.9800000000000004</v>
      </c>
      <c r="AN21" s="3">
        <f>Avoine!E22</f>
        <v>12.2</v>
      </c>
      <c r="AO21" s="3">
        <f>IF(Avoine!G22="",'Intermédiaire_Prod-Résultats'!AN21,Avoine!G22)</f>
        <v>12.2</v>
      </c>
      <c r="AQ21" s="3">
        <f>'Blé_d''automne'!E22</f>
        <v>1.1599999999999999</v>
      </c>
      <c r="AR21" s="3">
        <f>IF('Blé_d''automne'!G22="",'Intermédiaire_Prod-Résultats'!AQ21,'Blé_d''automne'!G22)</f>
        <v>1.1599999999999999</v>
      </c>
      <c r="AT21" s="3">
        <f>Blé_printemps!E22</f>
        <v>1.1599999999999999</v>
      </c>
      <c r="AU21" s="3">
        <f>IF(Blé_printemps!G22="",'Intermédiaire_Prod-Résultats'!AT21,Blé_printemps!G22)</f>
        <v>1.1599999999999999</v>
      </c>
      <c r="AW21" s="3">
        <f>Sarrasin!E22</f>
        <v>0</v>
      </c>
      <c r="AX21" s="3">
        <f>IF(Sarrasin!G22="",'Intermédiaire_Prod-Résultats'!AW21,Sarrasin!G22)</f>
        <v>0</v>
      </c>
      <c r="AY21" s="42"/>
      <c r="AZ21" s="37">
        <f>'Maïs-grain'!E23</f>
        <v>79.930000000000007</v>
      </c>
      <c r="BA21" s="3">
        <f>IF('Maïs-grain'!G23="",'Intermédiaire_Prod-Résultats'!AZ21,'Maïs-grain'!G23)</f>
        <v>79.930000000000007</v>
      </c>
      <c r="BC21" s="3">
        <f>Canola!E22</f>
        <v>20.18</v>
      </c>
      <c r="BD21" s="3">
        <f>IF(Canola!G22="",'Intermédiaire_Prod-Résultats'!BC21,Canola!G22)</f>
        <v>20.18</v>
      </c>
      <c r="BF21" s="3">
        <f>Soya!E22</f>
        <v>39.549999999999997</v>
      </c>
      <c r="BG21" s="3">
        <f>IF(Soya!G22="",'Intermédiaire_Prod-Résultats'!BF21,Soya!G22)</f>
        <v>39.549999999999997</v>
      </c>
      <c r="BI21" s="3">
        <f>Orge!E22</f>
        <v>4.9800000000000004</v>
      </c>
      <c r="BJ21" s="3">
        <f>IF(Orge!G22="",'Intermédiaire_Prod-Résultats'!BI21,Orge!G22)</f>
        <v>4.9800000000000004</v>
      </c>
      <c r="BL21" s="3">
        <f>Avoine!E22</f>
        <v>12.2</v>
      </c>
      <c r="BM21" s="3">
        <f>IF(Avoine!G22="",'Intermédiaire_Prod-Résultats'!BL21,Avoine!G22)</f>
        <v>12.2</v>
      </c>
      <c r="BO21" s="3">
        <f>'Blé_d''automne'!E22</f>
        <v>1.1599999999999999</v>
      </c>
      <c r="BP21" s="3">
        <f>IF('Blé_d''automne'!G22="",'Intermédiaire_Prod-Résultats'!BO21,'Blé_d''automne'!G22)</f>
        <v>1.1599999999999999</v>
      </c>
      <c r="BR21" s="3">
        <f>Blé_printemps!E22</f>
        <v>1.1599999999999999</v>
      </c>
      <c r="BS21" s="3">
        <f>IF(Blé_printemps!G22="",'Intermédiaire_Prod-Résultats'!BR21,Blé_printemps!G22)</f>
        <v>1.1599999999999999</v>
      </c>
      <c r="BU21" s="3">
        <f>Sarrasin!E22</f>
        <v>0</v>
      </c>
      <c r="BV21" s="3">
        <f>IF(Sarrasin!G22="",'Intermédiaire_Prod-Résultats'!BU21,Sarrasin!G22)</f>
        <v>0</v>
      </c>
    </row>
    <row r="22" spans="1:74" x14ac:dyDescent="0.25">
      <c r="A22" t="s">
        <v>20</v>
      </c>
      <c r="D22" s="3">
        <f>'Maïs-grain'!E24</f>
        <v>94.32</v>
      </c>
      <c r="E22" s="3">
        <f>IF('Maïs-grain'!G24="",'Intermédiaire_Prod-Résultats'!D22,'Maïs-grain'!G24)</f>
        <v>94.32</v>
      </c>
      <c r="G22" s="3">
        <f>Canola!E23</f>
        <v>38.03</v>
      </c>
      <c r="H22" s="3">
        <f>IF(Canola!G23="",'Intermédiaire_Prod-Résultats'!G22,Canola!G23)</f>
        <v>38.03</v>
      </c>
      <c r="J22" s="3">
        <f>Soya!E23</f>
        <v>74.709999999999994</v>
      </c>
      <c r="K22" s="3">
        <f>IF(Soya!G23="",'Intermédiaire_Prod-Résultats'!J22,Soya!G23)</f>
        <v>74.709999999999994</v>
      </c>
      <c r="M22" s="3">
        <f>Orge!E23</f>
        <v>35.67</v>
      </c>
      <c r="N22" s="3">
        <f>IF(Orge!G23="",'Intermédiaire_Prod-Résultats'!M22,Orge!G23)</f>
        <v>35.67</v>
      </c>
      <c r="P22" s="3">
        <f>Avoine!E23</f>
        <v>41.43</v>
      </c>
      <c r="Q22" s="3">
        <f>IF(Avoine!G23="",'Intermédiaire_Prod-Résultats'!P22,Avoine!G23)</f>
        <v>41.43</v>
      </c>
      <c r="S22" s="3">
        <f>'Blé_d''automne'!E23</f>
        <v>48.46</v>
      </c>
      <c r="T22" s="3">
        <f>IF('Blé_d''automne'!G23="",'Intermédiaire_Prod-Résultats'!S22,'Blé_d''automne'!G23)</f>
        <v>48.46</v>
      </c>
      <c r="V22" s="3">
        <f>Blé_printemps!E23</f>
        <v>48.46</v>
      </c>
      <c r="W22" s="3">
        <f>IF(Blé_printemps!G23="",'Intermédiaire_Prod-Résultats'!V22,Blé_printemps!G23)</f>
        <v>48.46</v>
      </c>
      <c r="Y22" s="3">
        <f>Sarrasin!E23</f>
        <v>0</v>
      </c>
      <c r="Z22" s="3">
        <f>IF(Sarrasin!G23="",'Intermédiaire_Prod-Résultats'!Y22,Sarrasin!G23)</f>
        <v>0</v>
      </c>
      <c r="AA22" s="42"/>
      <c r="AB22" s="37">
        <f>'Maïs-grain'!E24</f>
        <v>94.32</v>
      </c>
      <c r="AC22" s="3">
        <f>IF('Maïs-grain'!G24="",'Intermédiaire_Prod-Résultats'!AB22,'Maïs-grain'!G24)</f>
        <v>94.32</v>
      </c>
      <c r="AE22" s="3">
        <f>Canola!E23</f>
        <v>38.03</v>
      </c>
      <c r="AF22" s="3">
        <f>IF(Canola!G23="",'Intermédiaire_Prod-Résultats'!AE22,Canola!G23)</f>
        <v>38.03</v>
      </c>
      <c r="AH22" s="3">
        <f>Soya!E23</f>
        <v>74.709999999999994</v>
      </c>
      <c r="AI22" s="3">
        <f>IF(Soya!G23="",'Intermédiaire_Prod-Résultats'!AH22,Soya!G23)</f>
        <v>74.709999999999994</v>
      </c>
      <c r="AK22" s="3">
        <f>Orge!E23</f>
        <v>35.67</v>
      </c>
      <c r="AL22" s="3">
        <f>IF(Orge!G23="",'Intermédiaire_Prod-Résultats'!AK22,Orge!G23)</f>
        <v>35.67</v>
      </c>
      <c r="AN22" s="3">
        <f>Avoine!E23</f>
        <v>41.43</v>
      </c>
      <c r="AO22" s="3">
        <f>IF(Avoine!G23="",'Intermédiaire_Prod-Résultats'!AN22,Avoine!G23)</f>
        <v>41.43</v>
      </c>
      <c r="AQ22" s="3">
        <f>'Blé_d''automne'!E23</f>
        <v>48.46</v>
      </c>
      <c r="AR22" s="3">
        <f>IF('Blé_d''automne'!G23="",'Intermédiaire_Prod-Résultats'!AQ22,'Blé_d''automne'!G23)</f>
        <v>48.46</v>
      </c>
      <c r="AT22" s="3">
        <f>Blé_printemps!E23</f>
        <v>48.46</v>
      </c>
      <c r="AU22" s="3">
        <f>IF(Blé_printemps!G23="",'Intermédiaire_Prod-Résultats'!AT22,Blé_printemps!G23)</f>
        <v>48.46</v>
      </c>
      <c r="AW22" s="3">
        <f>Sarrasin!E23</f>
        <v>0</v>
      </c>
      <c r="AX22" s="3">
        <f>IF(Sarrasin!G23="",'Intermédiaire_Prod-Résultats'!AW22,Sarrasin!G23)</f>
        <v>0</v>
      </c>
      <c r="AY22" s="42"/>
      <c r="AZ22" s="37">
        <f>'Maïs-grain'!E24</f>
        <v>94.32</v>
      </c>
      <c r="BA22" s="3">
        <f>IF('Maïs-grain'!G24="",'Intermédiaire_Prod-Résultats'!AZ22,'Maïs-grain'!G24)</f>
        <v>94.32</v>
      </c>
      <c r="BC22" s="3">
        <f>Canola!E23</f>
        <v>38.03</v>
      </c>
      <c r="BD22" s="3">
        <f>IF(Canola!G23="",'Intermédiaire_Prod-Résultats'!BC22,Canola!G23)</f>
        <v>38.03</v>
      </c>
      <c r="BF22" s="3">
        <f>Soya!E23</f>
        <v>74.709999999999994</v>
      </c>
      <c r="BG22" s="3">
        <f>IF(Soya!G23="",'Intermédiaire_Prod-Résultats'!BF22,Soya!G23)</f>
        <v>74.709999999999994</v>
      </c>
      <c r="BI22" s="3">
        <f>Orge!E23</f>
        <v>35.67</v>
      </c>
      <c r="BJ22" s="3">
        <f>IF(Orge!G23="",'Intermédiaire_Prod-Résultats'!BI22,Orge!G23)</f>
        <v>35.67</v>
      </c>
      <c r="BL22" s="3">
        <f>Avoine!E23</f>
        <v>41.43</v>
      </c>
      <c r="BM22" s="3">
        <f>IF(Avoine!G23="",'Intermédiaire_Prod-Résultats'!BL22,Avoine!G23)</f>
        <v>41.43</v>
      </c>
      <c r="BO22" s="3">
        <f>'Blé_d''automne'!E23</f>
        <v>48.46</v>
      </c>
      <c r="BP22" s="3">
        <f>IF('Blé_d''automne'!G23="",'Intermédiaire_Prod-Résultats'!BO22,'Blé_d''automne'!G23)</f>
        <v>48.46</v>
      </c>
      <c r="BR22" s="3">
        <f>Blé_printemps!E23</f>
        <v>48.46</v>
      </c>
      <c r="BS22" s="3">
        <f>IF(Blé_printemps!G23="",'Intermédiaire_Prod-Résultats'!BR22,Blé_printemps!G23)</f>
        <v>48.46</v>
      </c>
      <c r="BU22" s="3">
        <f>Sarrasin!E23</f>
        <v>0</v>
      </c>
      <c r="BV22" s="3">
        <f>IF(Sarrasin!G23="",'Intermédiaire_Prod-Résultats'!BU22,Sarrasin!G23)</f>
        <v>0</v>
      </c>
    </row>
    <row r="23" spans="1:74" x14ac:dyDescent="0.25">
      <c r="A23" t="s">
        <v>21</v>
      </c>
      <c r="D23" s="3">
        <f>'Maïs-grain'!E25</f>
        <v>119.87</v>
      </c>
      <c r="E23" s="3">
        <f>IF('Maïs-grain'!G25="",'Intermédiaire_Prod-Résultats'!D23,'Maïs-grain'!G25)</f>
        <v>119.87</v>
      </c>
      <c r="G23" s="3">
        <f>Canola!E24</f>
        <v>71.81</v>
      </c>
      <c r="H23" s="3">
        <f>IF(Canola!G24="",'Intermédiaire_Prod-Résultats'!G23,Canola!G24)</f>
        <v>71.81</v>
      </c>
      <c r="J23" s="3">
        <f>Soya!E24</f>
        <v>92.87</v>
      </c>
      <c r="K23" s="3">
        <f>IF(Soya!G24="",'Intermédiaire_Prod-Résultats'!J23,Soya!G24)</f>
        <v>92.87</v>
      </c>
      <c r="M23" s="3">
        <f>Orge!E24</f>
        <v>90.77</v>
      </c>
      <c r="N23" s="3">
        <f>IF(Orge!G24="",'Intermédiaire_Prod-Résultats'!M23,Orge!G24)</f>
        <v>90.77</v>
      </c>
      <c r="P23" s="3">
        <f>Avoine!E24</f>
        <v>63.2</v>
      </c>
      <c r="Q23" s="3">
        <f>IF(Avoine!G24="",'Intermédiaire_Prod-Résultats'!P23,Avoine!G24)</f>
        <v>63.2</v>
      </c>
      <c r="S23" s="3">
        <f>'Blé_d''automne'!E24</f>
        <v>81.790000000000006</v>
      </c>
      <c r="T23" s="3">
        <f>IF('Blé_d''automne'!G24="",'Intermédiaire_Prod-Résultats'!S23,'Blé_d''automne'!G24)</f>
        <v>81.790000000000006</v>
      </c>
      <c r="V23" s="3">
        <f>Blé_printemps!E24</f>
        <v>81.790000000000006</v>
      </c>
      <c r="W23" s="3">
        <f>IF(Blé_printemps!G24="",'Intermédiaire_Prod-Résultats'!V23,Blé_printemps!G24)</f>
        <v>81.790000000000006</v>
      </c>
      <c r="Y23" s="3">
        <f>Sarrasin!E24</f>
        <v>70.92</v>
      </c>
      <c r="Z23" s="3">
        <f>IF(Sarrasin!G24="",'Intermédiaire_Prod-Résultats'!Y23,Sarrasin!G24)</f>
        <v>70.92</v>
      </c>
      <c r="AA23" s="42"/>
      <c r="AB23" s="37">
        <f>'Maïs-grain'!E25</f>
        <v>119.87</v>
      </c>
      <c r="AC23" s="3">
        <f>IF('Maïs-grain'!G25="",'Intermédiaire_Prod-Résultats'!AB23,'Maïs-grain'!G25)</f>
        <v>119.87</v>
      </c>
      <c r="AE23" s="3">
        <f>Canola!E24</f>
        <v>71.81</v>
      </c>
      <c r="AF23" s="3">
        <f>IF(Canola!G24="",'Intermédiaire_Prod-Résultats'!AE23,Canola!G24)</f>
        <v>71.81</v>
      </c>
      <c r="AH23" s="3">
        <f>Soya!E24</f>
        <v>92.87</v>
      </c>
      <c r="AI23" s="3">
        <f>IF(Soya!G24="",'Intermédiaire_Prod-Résultats'!AH23,Soya!G24)</f>
        <v>92.87</v>
      </c>
      <c r="AK23" s="3">
        <f>Orge!E24</f>
        <v>90.77</v>
      </c>
      <c r="AL23" s="3">
        <f>IF(Orge!G24="",'Intermédiaire_Prod-Résultats'!AK23,Orge!G24)</f>
        <v>90.77</v>
      </c>
      <c r="AN23" s="3">
        <f>Avoine!E24</f>
        <v>63.2</v>
      </c>
      <c r="AO23" s="3">
        <f>IF(Avoine!G24="",'Intermédiaire_Prod-Résultats'!AN23,Avoine!G24)</f>
        <v>63.2</v>
      </c>
      <c r="AQ23" s="3">
        <f>'Blé_d''automne'!E24</f>
        <v>81.790000000000006</v>
      </c>
      <c r="AR23" s="3">
        <f>IF('Blé_d''automne'!G24="",'Intermédiaire_Prod-Résultats'!AQ23,'Blé_d''automne'!G24)</f>
        <v>81.790000000000006</v>
      </c>
      <c r="AT23" s="3">
        <f>Blé_printemps!E24</f>
        <v>81.790000000000006</v>
      </c>
      <c r="AU23" s="3">
        <f>IF(Blé_printemps!G24="",'Intermédiaire_Prod-Résultats'!AT23,Blé_printemps!G24)</f>
        <v>81.790000000000006</v>
      </c>
      <c r="AW23" s="3">
        <f>Sarrasin!E24</f>
        <v>70.92</v>
      </c>
      <c r="AX23" s="3">
        <f>IF(Sarrasin!G24="",'Intermédiaire_Prod-Résultats'!AW23,Sarrasin!G24)</f>
        <v>70.92</v>
      </c>
      <c r="AY23" s="42"/>
      <c r="AZ23" s="37">
        <f>'Maïs-grain'!E25</f>
        <v>119.87</v>
      </c>
      <c r="BA23" s="3">
        <f>IF('Maïs-grain'!G25="",'Intermédiaire_Prod-Résultats'!AZ23,'Maïs-grain'!G25)</f>
        <v>119.87</v>
      </c>
      <c r="BC23" s="3">
        <f>Canola!E24</f>
        <v>71.81</v>
      </c>
      <c r="BD23" s="3">
        <f>IF(Canola!G24="",'Intermédiaire_Prod-Résultats'!BC23,Canola!G24)</f>
        <v>71.81</v>
      </c>
      <c r="BF23" s="3">
        <f>Soya!E24</f>
        <v>92.87</v>
      </c>
      <c r="BG23" s="3">
        <f>IF(Soya!G24="",'Intermédiaire_Prod-Résultats'!BF23,Soya!G24)</f>
        <v>92.87</v>
      </c>
      <c r="BI23" s="3">
        <f>Orge!E24</f>
        <v>90.77</v>
      </c>
      <c r="BJ23" s="3">
        <f>IF(Orge!G24="",'Intermédiaire_Prod-Résultats'!BI23,Orge!G24)</f>
        <v>90.77</v>
      </c>
      <c r="BL23" s="3">
        <f>Avoine!E24</f>
        <v>63.2</v>
      </c>
      <c r="BM23" s="3">
        <f>IF(Avoine!G24="",'Intermédiaire_Prod-Résultats'!BL23,Avoine!G24)</f>
        <v>63.2</v>
      </c>
      <c r="BO23" s="3">
        <f>'Blé_d''automne'!E24</f>
        <v>81.790000000000006</v>
      </c>
      <c r="BP23" s="3">
        <f>IF('Blé_d''automne'!G24="",'Intermédiaire_Prod-Résultats'!BO23,'Blé_d''automne'!G24)</f>
        <v>81.790000000000006</v>
      </c>
      <c r="BR23" s="3">
        <f>Blé_printemps!E24</f>
        <v>81.790000000000006</v>
      </c>
      <c r="BS23" s="3">
        <f>IF(Blé_printemps!G24="",'Intermédiaire_Prod-Résultats'!BR23,Blé_printemps!G24)</f>
        <v>81.790000000000006</v>
      </c>
      <c r="BU23" s="3">
        <f>Sarrasin!E24</f>
        <v>70.92</v>
      </c>
      <c r="BV23" s="3">
        <f>IF(Sarrasin!G24="",'Intermédiaire_Prod-Résultats'!BU23,Sarrasin!G24)</f>
        <v>70.92</v>
      </c>
    </row>
    <row r="24" spans="1:74" x14ac:dyDescent="0.25">
      <c r="A24" t="s">
        <v>22</v>
      </c>
      <c r="D24" s="3">
        <f>'Maïs-grain'!E26</f>
        <v>92.68</v>
      </c>
      <c r="E24" s="3">
        <f>IF('Maïs-grain'!G26="",'Intermédiaire_Prod-Résultats'!D24,'Maïs-grain'!G26)</f>
        <v>92.68</v>
      </c>
      <c r="G24" s="3">
        <f>Canola!E25</f>
        <v>62.44</v>
      </c>
      <c r="H24" s="3">
        <f>IF(Canola!G25="",'Intermédiaire_Prod-Résultats'!G24,Canola!G25)</f>
        <v>62.44</v>
      </c>
      <c r="J24" s="3">
        <f>Soya!E25</f>
        <v>77.680000000000007</v>
      </c>
      <c r="K24" s="3">
        <f>IF(Soya!G25="",'Intermédiaire_Prod-Résultats'!J24,Soya!G25)</f>
        <v>77.680000000000007</v>
      </c>
      <c r="M24" s="3">
        <f>Orge!E25</f>
        <v>66.17</v>
      </c>
      <c r="N24" s="3">
        <f>IF(Orge!G25="",'Intermédiaire_Prod-Résultats'!M24,Orge!G25)</f>
        <v>66.17</v>
      </c>
      <c r="P24" s="3">
        <f>Avoine!E25</f>
        <v>57.4</v>
      </c>
      <c r="Q24" s="3">
        <f>IF(Avoine!G25="",'Intermédiaire_Prod-Résultats'!P24,Avoine!G25)</f>
        <v>57.4</v>
      </c>
      <c r="S24" s="3">
        <f>'Blé_d''automne'!E25</f>
        <v>69.55</v>
      </c>
      <c r="T24" s="3">
        <f>IF('Blé_d''automne'!G25="",'Intermédiaire_Prod-Résultats'!S24,'Blé_d''automne'!G25)</f>
        <v>69.55</v>
      </c>
      <c r="V24" s="3">
        <f>Blé_printemps!E25</f>
        <v>69.55</v>
      </c>
      <c r="W24" s="3">
        <f>IF(Blé_printemps!G25="",'Intermédiaire_Prod-Résultats'!V24,Blé_printemps!G25)</f>
        <v>69.55</v>
      </c>
      <c r="Y24" s="3">
        <f>Sarrasin!E25</f>
        <v>0</v>
      </c>
      <c r="Z24" s="3">
        <f>IF(Sarrasin!G25="",'Intermédiaire_Prod-Résultats'!Y24,Sarrasin!G25)</f>
        <v>0</v>
      </c>
      <c r="AA24" s="42"/>
      <c r="AB24" s="37">
        <f>'Maïs-grain'!E26</f>
        <v>92.68</v>
      </c>
      <c r="AC24" s="3">
        <f>IF('Maïs-grain'!G26="",'Intermédiaire_Prod-Résultats'!AB24,'Maïs-grain'!G26)</f>
        <v>92.68</v>
      </c>
      <c r="AE24" s="3">
        <f>Canola!E25</f>
        <v>62.44</v>
      </c>
      <c r="AF24" s="3">
        <f>IF(Canola!G25="",'Intermédiaire_Prod-Résultats'!AE24,Canola!G25)</f>
        <v>62.44</v>
      </c>
      <c r="AH24" s="3">
        <f>Soya!E25</f>
        <v>77.680000000000007</v>
      </c>
      <c r="AI24" s="3">
        <f>IF(Soya!G25="",'Intermédiaire_Prod-Résultats'!AH24,Soya!G25)</f>
        <v>77.680000000000007</v>
      </c>
      <c r="AK24" s="3">
        <f>Orge!E25</f>
        <v>66.17</v>
      </c>
      <c r="AL24" s="3">
        <f>IF(Orge!G25="",'Intermédiaire_Prod-Résultats'!AK24,Orge!G25)</f>
        <v>66.17</v>
      </c>
      <c r="AN24" s="3">
        <f>Avoine!E25</f>
        <v>57.4</v>
      </c>
      <c r="AO24" s="3">
        <f>IF(Avoine!G25="",'Intermédiaire_Prod-Résultats'!AN24,Avoine!G25)</f>
        <v>57.4</v>
      </c>
      <c r="AQ24" s="3">
        <f>'Blé_d''automne'!E25</f>
        <v>69.55</v>
      </c>
      <c r="AR24" s="3">
        <f>IF('Blé_d''automne'!G25="",'Intermédiaire_Prod-Résultats'!AQ24,'Blé_d''automne'!G25)</f>
        <v>69.55</v>
      </c>
      <c r="AT24" s="3">
        <f>Blé_printemps!E25</f>
        <v>69.55</v>
      </c>
      <c r="AU24" s="3">
        <f>IF(Blé_printemps!G25="",'Intermédiaire_Prod-Résultats'!AT24,Blé_printemps!G25)</f>
        <v>69.55</v>
      </c>
      <c r="AW24" s="3">
        <f>Sarrasin!E25</f>
        <v>0</v>
      </c>
      <c r="AX24" s="3">
        <f>IF(Sarrasin!G25="",'Intermédiaire_Prod-Résultats'!AW24,Sarrasin!G25)</f>
        <v>0</v>
      </c>
      <c r="AY24" s="42"/>
      <c r="AZ24" s="37">
        <f>'Maïs-grain'!E26</f>
        <v>92.68</v>
      </c>
      <c r="BA24" s="3">
        <f>IF('Maïs-grain'!G26="",'Intermédiaire_Prod-Résultats'!AZ24,'Maïs-grain'!G26)</f>
        <v>92.68</v>
      </c>
      <c r="BC24" s="3">
        <f>Canola!E25</f>
        <v>62.44</v>
      </c>
      <c r="BD24" s="3">
        <f>IF(Canola!G25="",'Intermédiaire_Prod-Résultats'!BC24,Canola!G25)</f>
        <v>62.44</v>
      </c>
      <c r="BF24" s="3">
        <f>Soya!E25</f>
        <v>77.680000000000007</v>
      </c>
      <c r="BG24" s="3">
        <f>IF(Soya!G25="",'Intermédiaire_Prod-Résultats'!BF24,Soya!G25)</f>
        <v>77.680000000000007</v>
      </c>
      <c r="BI24" s="3">
        <f>Orge!E25</f>
        <v>66.17</v>
      </c>
      <c r="BJ24" s="3">
        <f>IF(Orge!G25="",'Intermédiaire_Prod-Résultats'!BI24,Orge!G25)</f>
        <v>66.17</v>
      </c>
      <c r="BL24" s="3">
        <f>Avoine!E25</f>
        <v>57.4</v>
      </c>
      <c r="BM24" s="3">
        <f>IF(Avoine!G25="",'Intermédiaire_Prod-Résultats'!BL24,Avoine!G25)</f>
        <v>57.4</v>
      </c>
      <c r="BO24" s="3">
        <f>'Blé_d''automne'!E25</f>
        <v>69.55</v>
      </c>
      <c r="BP24" s="3">
        <f>IF('Blé_d''automne'!G25="",'Intermédiaire_Prod-Résultats'!BO24,'Blé_d''automne'!G25)</f>
        <v>69.55</v>
      </c>
      <c r="BR24" s="3">
        <f>Blé_printemps!E25</f>
        <v>69.55</v>
      </c>
      <c r="BS24" s="3">
        <f>IF(Blé_printemps!G25="",'Intermédiaire_Prod-Résultats'!BR24,Blé_printemps!G25)</f>
        <v>69.55</v>
      </c>
      <c r="BU24" s="3">
        <f>Sarrasin!E25</f>
        <v>0</v>
      </c>
      <c r="BV24" s="3">
        <f>IF(Sarrasin!G25="",'Intermédiaire_Prod-Résultats'!BU24,Sarrasin!G25)</f>
        <v>0</v>
      </c>
    </row>
    <row r="25" spans="1:74" x14ac:dyDescent="0.25">
      <c r="A25" t="s">
        <v>23</v>
      </c>
      <c r="D25" s="3">
        <f>'Maïs-grain'!D27*Saisies!B8*(1+Saisies!B39*Saisies!B59)</f>
        <v>240.08999999999997</v>
      </c>
      <c r="E25" s="3">
        <f>IF('Maïs-grain'!G27="",IF(Saisies!C8="",'Intermédiaire_Prod-Résultats'!D25,'Maïs-grain'!D27*Saisies!C8),'Maïs-grain'!G27)*(1+IF(Saisies!C39="",Saisies!B39,Saisies!C39)*IF(Saisies!C59="",Saisies!B59,Saisies!C59))</f>
        <v>240.08999999999997</v>
      </c>
      <c r="G25" s="3">
        <f>Canola!D26*Saisies!B9*(1+Saisies!B40*Saisies!B59)</f>
        <v>30.130000000000003</v>
      </c>
      <c r="H25" s="3">
        <f>IF(Canola!G26="",IF(Saisies!C9="",'Intermédiaire_Prod-Résultats'!G25,Canola!D26*Saisies!C9),Canola!G26)*(1+IF(Saisies!C40="",Saisies!B40,Saisies!C40)*IF(Saisies!C59="",Saisies!B59,Saisies!C59))</f>
        <v>30.130000000000003</v>
      </c>
      <c r="J25" s="3">
        <f>Soya!D26*Saisies!B10*(1+Saisies!B41*Saisies!B59)</f>
        <v>0.2</v>
      </c>
      <c r="K25" s="3">
        <f>IF(Soya!$G26="",IF(Saisies!$C$10="",'Intermédiaire_Prod-Résultats'!J25,Soya!$D26*Saisies!$C$10),Soya!$G26)*(1+IF(Saisies!C41="",Saisies!B41,Saisies!C41)*IF(Saisies!C59="",Saisies!B59,Saisies!C59))</f>
        <v>0.2</v>
      </c>
      <c r="M25" s="3">
        <f>Orge!D26*Saisies!B11*(1+Saisies!B42*Saisies!B59)</f>
        <v>62.149999999999991</v>
      </c>
      <c r="N25" s="3">
        <f>IF(Orge!$G26="",IF(Saisies!$C$11="",'Intermédiaire_Prod-Résultats'!M25,Orge!$D26*Saisies!$C$11),Orge!$G26)*(1+IF(Saisies!C42="",Saisies!B42,Saisies!C42)*IF(Saisies!C59="",Saisies!B59,Saisies!C59))</f>
        <v>62.149999999999991</v>
      </c>
      <c r="P25" s="3">
        <f>Avoine!D26*Saisies!B12*(1+Saisies!B43*Saisies!B59)</f>
        <v>29.680000000000003</v>
      </c>
      <c r="Q25" s="3">
        <f>IF(Avoine!$G26="",IF(Saisies!$C$12="",'Intermédiaire_Prod-Résultats'!P25,Avoine!$D26*Saisies!$C$12),Avoine!$G26)*(1+IF(Saisies!C43="",Saisies!B43,Saisies!C43)*IF(Saisies!C59="",Saisies!B59,Saisies!C59))</f>
        <v>29.680000000000003</v>
      </c>
      <c r="S25" s="3">
        <f>'Blé_d''automne'!D26*Saisies!B14*(1+Saisies!B45*Saisies!B59)</f>
        <v>42.85</v>
      </c>
      <c r="T25" s="3">
        <f>IF('Blé_d''automne'!G26="",IF(Saisies!C14="",'Intermédiaire_Prod-Résultats'!S25,'Blé_d''automne'!D26*Saisies!C14),'Blé_d''automne'!G26)*(1+IF(Saisies!C45="",Saisies!B45,Saisies!C45)*IF(Saisies!C59="",Saisies!B59,Saisies!C59))</f>
        <v>42.85</v>
      </c>
      <c r="V25" s="3">
        <f>Blé_printemps!D26*Saisies!B13*(1+Saisies!B44*Saisies!B59)</f>
        <v>42.85</v>
      </c>
      <c r="W25" s="3">
        <f>IF(Blé_printemps!G26="",IF(Saisies!C13="",'Intermédiaire_Prod-Résultats'!V25,Blé_printemps!D26*Saisies!C13),Blé_printemps!G26)*(1+IF(Saisies!C44="",Saisies!B44,Saisies!C44)*IF(Saisies!C59="",Saisies!B59,Saisies!C59))</f>
        <v>42.85</v>
      </c>
      <c r="Y25" s="3">
        <f>Sarrasin!D26*Saisies!B15*(1+Saisies!B46*Saisies!B59)</f>
        <v>0</v>
      </c>
      <c r="Z25" s="3">
        <f>IF(Sarrasin!G26="",Sarrasin!D26*IF(Saisies!C15="",Saisies!B15,Saisies!C15),Sarrasin!G26)*(1+IF(Saisies!C46="",Saisies!B46,Saisies!C46)*IF(Saisies!C59="",Saisies!B59,Saisies!C59))</f>
        <v>0</v>
      </c>
      <c r="AA25" s="42"/>
      <c r="AB25" s="37">
        <f>('Maïs-grain'!D27*Saisies!B8)*(1+Saisies!B39*Saisies!B60)</f>
        <v>253.29494999999997</v>
      </c>
      <c r="AC25" s="3">
        <f>IF('Maïs-grain'!G27="",'Maïs-grain'!D27*IF(Saisies!C8="",Saisies!B8,Saisies!C8),'Maïs-grain'!G27)*(1+IF(Saisies!C39="",Saisies!B39,Saisies!C39)*IF(Saisies!C60="",Saisies!B60,Saisies!C60))</f>
        <v>253.29494999999997</v>
      </c>
      <c r="AE25" s="3">
        <f>(Canola!D26*Saisies!B9)*(1+Saisies!B40*Saisies!B60)</f>
        <v>30.130000000000003</v>
      </c>
      <c r="AF25" s="3">
        <f>IF(Canola!G26="",Canola!D26*IF(Saisies!C9="",Saisies!B9,Saisies!C9),Canola!G26)*(1+IF(Saisies!C40="",Saisies!B40,Saisies!C40)*IF(Saisies!C60="",Saisies!B60,Saisies!C60))</f>
        <v>30.130000000000003</v>
      </c>
      <c r="AH25" s="3">
        <f>(Soya!D26*Saisies!B10)*(1+Saisies!B41*Saisies!B60)</f>
        <v>0.2</v>
      </c>
      <c r="AI25" s="3">
        <f>IF(Soya!G26="",Soya!D26*IF(Saisies!C10="",Saisies!B10,Saisies!C10),Soya!G26)*(1+IF(Saisies!C41="",Saisies!B41,Saisies!C41)*IF(Saisies!C60="",Saisies!B60,Saisies!C60))</f>
        <v>0.2</v>
      </c>
      <c r="AK25" s="3">
        <f>(Orge!D26*Saisies!B11)*(1+Saisies!B42*Saisies!B60)</f>
        <v>65.568249999999992</v>
      </c>
      <c r="AL25" s="3">
        <f>IF(Orge!G26="",Orge!D26*IF(Saisies!C11="",Saisies!B11,Saisies!C11),Orge!G26)*(1+IF(Saisies!C42="",Saisies!B42,Saisies!C42)*IF(Saisies!C60="",Saisies!B60,Saisies!C60))</f>
        <v>65.568249999999992</v>
      </c>
      <c r="AN25" s="3">
        <f>(Avoine!D26*Saisies!B12)*(1+Saisies!B43*Saisies!B60)</f>
        <v>31.3124</v>
      </c>
      <c r="AO25" s="3">
        <f>IF(Avoine!G26="",Avoine!D26*IF(Saisies!C12="",Saisies!B12,Saisies!C12),Avoine!G26)*(1+IF(Saisies!C43="",Saisies!B43,Saisies!C43)*IF(Saisies!C60="",Saisies!B60,Saisies!C60))</f>
        <v>31.3124</v>
      </c>
      <c r="AQ25" s="3">
        <f>('Blé_d''automne'!D26*Saisies!B14)*(1+Saisies!B45*Saisies!B60)</f>
        <v>45.20675</v>
      </c>
      <c r="AR25" s="3">
        <f>IF('Blé_d''automne'!G26="",'Blé_d''automne'!D26*IF(Saisies!C14="",Saisies!B14,Saisies!C14),'Blé_d''automne'!G26)*(1+IF(Saisies!C45="",Saisies!B45,Saisies!C45)*IF(Saisies!C60="",Saisies!B60,Saisies!C60))</f>
        <v>45.20675</v>
      </c>
      <c r="AT25" s="3">
        <f>(Blé_printemps!D26*Saisies!B13)*(1+Saisies!B44*Saisies!B60)</f>
        <v>45.20675</v>
      </c>
      <c r="AU25" s="3">
        <f>IF(Blé_printemps!G26="",Blé_printemps!D26*IF(Saisies!C13="",Saisies!B13,Saisies!C13),Blé_printemps!G26)*(1+IF(Saisies!C44="",Saisies!B44,Saisies!C44)*IF(Saisies!C60="",Saisies!B60,Saisies!C60))</f>
        <v>45.20675</v>
      </c>
      <c r="AW25" s="3">
        <f>(Sarrasin!D26*Saisies!B15)*(1+Saisies!B46*Saisies!B60)</f>
        <v>0</v>
      </c>
      <c r="AX25" s="3">
        <f>IF(Sarrasin!G26="",Sarrasin!D26*IF(Saisies!C15="",Saisies!B15,Saisies!C15),Sarrasin!G26)*(1+IF(Saisies!C46="",Saisies!B46,Saisies!C46)*IF(Saisies!C60="",Saisies!B60,Saisies!C60))</f>
        <v>0</v>
      </c>
      <c r="AY25" s="42"/>
      <c r="AZ25" s="37">
        <f>('Maïs-grain'!D27*Saisies!B8)*(1+Saisies!B39*Saisies!B61)</f>
        <v>266.49989999999997</v>
      </c>
      <c r="BA25" s="3">
        <f>IF('Maïs-grain'!G27="",'Maïs-grain'!D27*IF(Saisies!C8="",Saisies!B8,Saisies!C8),'Maïs-grain'!G27)*(1+IF(Saisies!C39="",Saisies!B39,Saisies!C39)*IF(Saisies!C61="",Saisies!B61,Saisies!C61))</f>
        <v>266.49989999999997</v>
      </c>
      <c r="BC25" s="3">
        <f>(Canola!D26*Saisies!B9)*(1+Saisies!B40*Saisies!B61)</f>
        <v>30.130000000000003</v>
      </c>
      <c r="BD25" s="3">
        <f>IF(Canola!G26="",Canola!D26*IF(Saisies!C9="",Saisies!B9,Saisies!C9),Canola!G26)*(1+IF(Saisies!C40="",Saisies!B40,Saisies!C40)*IF(Saisies!C61="",Saisies!B61,Saisies!C61))</f>
        <v>30.130000000000003</v>
      </c>
      <c r="BF25" s="3">
        <f>(Soya!D26*Saisies!B10)*(1+Saisies!B41*Saisies!B61)</f>
        <v>0.2</v>
      </c>
      <c r="BG25" s="3">
        <f>IF(Soya!G26="",Soya!D26*IF(Saisies!C10="",Saisies!B10,Saisies!C10),Soya!G26)*(1+IF(Saisies!C41="",Saisies!B41,Saisies!C41)*IF(Saisies!C61="",Saisies!B61,Saisies!C61))</f>
        <v>0.2</v>
      </c>
      <c r="BI25" s="3">
        <f>(Orge!D26*Saisies!B11)*(1+Saisies!B42*Saisies!B61)</f>
        <v>68.986499999999992</v>
      </c>
      <c r="BJ25" s="3">
        <f>IF(Orge!G26="",Orge!D26*IF(Saisies!C11="",Saisies!B11,Saisies!C11),Orge!G26)*(1+IF(Saisies!C42="",Saisies!B42,Saisies!C42)*IF(Saisies!C61="",Saisies!B61,Saisies!C61))</f>
        <v>68.986499999999992</v>
      </c>
      <c r="BL25" s="3">
        <f>(Avoine!D26*Saisies!B12)*(1+Saisies!B43*Saisies!B61)</f>
        <v>32.944800000000008</v>
      </c>
      <c r="BM25" s="3">
        <f>IF(Avoine!G26="",Avoine!D26*IF(Saisies!C12="",Saisies!B12,Saisies!C12),Avoine!G26)*(1+IF(Saisies!C43="",Saisies!B43,Saisies!C43)*IF(Saisies!C61="",Saisies!B61,Saisies!C61))</f>
        <v>32.944800000000008</v>
      </c>
      <c r="BO25" s="3">
        <f>('Blé_d''automne'!D26*Saisies!B14)*(1+Saisies!B45*Saisies!B61)</f>
        <v>47.563500000000005</v>
      </c>
      <c r="BP25" s="3">
        <f>IF('Blé_d''automne'!G26="",'Blé_d''automne'!D26*IF(Saisies!C14="",Saisies!B14,Saisies!C14),'Blé_d''automne'!G26)*(1+IF(Saisies!C45="",Saisies!B45,Saisies!C45)*IF(Saisies!C61="",Saisies!B61,Saisies!C61))</f>
        <v>47.563500000000005</v>
      </c>
      <c r="BR25" s="3">
        <f>(Blé_printemps!D26*Saisies!B13)*(1+Saisies!B44*Saisies!B61)</f>
        <v>47.563500000000005</v>
      </c>
      <c r="BS25" s="3">
        <f>IF(Blé_printemps!G26="",Blé_printemps!D26*IF(Saisies!C13="",Saisies!B13,Saisies!C13),Blé_printemps!G26)*(1+IF(Saisies!C44="",Saisies!B44,Saisies!C44)*IF(Saisies!C61="",Saisies!B61,Saisies!C61))</f>
        <v>47.563500000000005</v>
      </c>
      <c r="BU25" s="3">
        <f>(Sarrasin!D26*Saisies!B15)*(1+Saisies!B46*Saisies!B61)</f>
        <v>0</v>
      </c>
      <c r="BV25" s="3">
        <f>IF(Sarrasin!G26="",Sarrasin!D26*IF(Saisies!C15="",Saisies!B15,Saisies!C15),Sarrasin!G26)*(1+IF(Saisies!C46="",Saisies!B46,Saisies!C46)*IF(Saisies!C61="",Saisies!B61,Saisies!C61))</f>
        <v>0</v>
      </c>
    </row>
    <row r="26" spans="1:74" x14ac:dyDescent="0.25">
      <c r="A26" t="s">
        <v>24</v>
      </c>
      <c r="D26" s="3">
        <f>'Maïs-grain'!E29</f>
        <v>9.36</v>
      </c>
      <c r="E26" s="3">
        <f>IF('Maïs-grain'!G29="",'Intermédiaire_Prod-Résultats'!D26,'Maïs-grain'!G29)</f>
        <v>9.36</v>
      </c>
      <c r="G26" s="3">
        <f>Canola!E28</f>
        <v>4.53</v>
      </c>
      <c r="H26" s="3">
        <f>IF(Canola!G28="",'Intermédiaire_Prod-Résultats'!G26,Canola!G28)</f>
        <v>4.53</v>
      </c>
      <c r="J26" s="3">
        <f>Soya!E28</f>
        <v>5.13</v>
      </c>
      <c r="K26" s="3">
        <f>IF(Soya!G28="",'Intermédiaire_Prod-Résultats'!J26,Soya!G28)</f>
        <v>5.13</v>
      </c>
      <c r="M26" s="3">
        <f>Orge!E28</f>
        <v>7.12</v>
      </c>
      <c r="N26" s="3">
        <f>IF(Orge!G28="",'Intermédiaire_Prod-Résultats'!M26,Orge!G28)</f>
        <v>7.12</v>
      </c>
      <c r="P26" s="3">
        <f>Avoine!E28</f>
        <v>8.4499999999999993</v>
      </c>
      <c r="Q26" s="3">
        <f>IF(Avoine!G28="",'Intermédiaire_Prod-Résultats'!P26,Avoine!G28)</f>
        <v>8.4499999999999993</v>
      </c>
      <c r="S26" s="3">
        <f>'Blé_d''automne'!E28</f>
        <v>8.4700000000000006</v>
      </c>
      <c r="T26" s="3">
        <f>IF('Blé_d''automne'!G28="",'Intermédiaire_Prod-Résultats'!S26,'Blé_d''automne'!G28)</f>
        <v>8.4700000000000006</v>
      </c>
      <c r="V26" s="3">
        <f>Blé_printemps!E28</f>
        <v>8.4700000000000006</v>
      </c>
      <c r="W26" s="3">
        <f>IF(Blé_printemps!G28="",'Intermédiaire_Prod-Résultats'!V26,Blé_printemps!G28)</f>
        <v>8.4700000000000006</v>
      </c>
      <c r="Y26" s="3">
        <f>Sarrasin!E28</f>
        <v>35.57</v>
      </c>
      <c r="Z26" s="3">
        <f>IF(Sarrasin!G28="",'Intermédiaire_Prod-Résultats'!Y26,Sarrasin!G28)</f>
        <v>35.57</v>
      </c>
      <c r="AA26" s="42"/>
      <c r="AB26" s="37">
        <f>'Maïs-grain'!E29</f>
        <v>9.36</v>
      </c>
      <c r="AC26" s="3">
        <f>IF('Maïs-grain'!G29="",'Intermédiaire_Prod-Résultats'!AB26,'Maïs-grain'!G29)</f>
        <v>9.36</v>
      </c>
      <c r="AE26" s="3">
        <f>Canola!E28</f>
        <v>4.53</v>
      </c>
      <c r="AF26" s="3">
        <f>IF(Canola!G28="",'Intermédiaire_Prod-Résultats'!AE26,Canola!G28)</f>
        <v>4.53</v>
      </c>
      <c r="AH26" s="3">
        <f>Soya!E28</f>
        <v>5.13</v>
      </c>
      <c r="AI26" s="3">
        <f>IF(Soya!G28="",'Intermédiaire_Prod-Résultats'!AH26,Soya!G28)</f>
        <v>5.13</v>
      </c>
      <c r="AK26" s="3">
        <f>Orge!E28</f>
        <v>7.12</v>
      </c>
      <c r="AL26" s="3">
        <f>IF(Orge!G28="",'Intermédiaire_Prod-Résultats'!AK26,Orge!G28)</f>
        <v>7.12</v>
      </c>
      <c r="AN26" s="3">
        <f>Avoine!E28</f>
        <v>8.4499999999999993</v>
      </c>
      <c r="AO26" s="3">
        <f>IF(Avoine!G28="",'Intermédiaire_Prod-Résultats'!AN26,Avoine!G28)</f>
        <v>8.4499999999999993</v>
      </c>
      <c r="AQ26" s="3">
        <f>'Blé_d''automne'!E28</f>
        <v>8.4700000000000006</v>
      </c>
      <c r="AR26" s="3">
        <f>IF('Blé_d''automne'!G28="",'Intermédiaire_Prod-Résultats'!AQ26,'Blé_d''automne'!G28)</f>
        <v>8.4700000000000006</v>
      </c>
      <c r="AT26" s="3">
        <f>Blé_printemps!E28</f>
        <v>8.4700000000000006</v>
      </c>
      <c r="AU26" s="3">
        <f>IF(Blé_printemps!G28="",'Intermédiaire_Prod-Résultats'!AT26,Blé_printemps!G28)</f>
        <v>8.4700000000000006</v>
      </c>
      <c r="AW26" s="3">
        <f>Sarrasin!E28</f>
        <v>35.57</v>
      </c>
      <c r="AX26" s="3">
        <f>IF(Sarrasin!G28="",'Intermédiaire_Prod-Résultats'!AW26,Sarrasin!G28)</f>
        <v>35.57</v>
      </c>
      <c r="AY26" s="42"/>
      <c r="AZ26" s="37">
        <f>'Maïs-grain'!E29</f>
        <v>9.36</v>
      </c>
      <c r="BA26" s="3">
        <f>IF('Maïs-grain'!G29="",'Intermédiaire_Prod-Résultats'!AZ26,'Maïs-grain'!G29)</f>
        <v>9.36</v>
      </c>
      <c r="BC26" s="3">
        <f>Canola!E28</f>
        <v>4.53</v>
      </c>
      <c r="BD26" s="3">
        <f>IF(Canola!G28="",'Intermédiaire_Prod-Résultats'!BC26,Canola!G28)</f>
        <v>4.53</v>
      </c>
      <c r="BF26" s="3">
        <f>Soya!E28</f>
        <v>5.13</v>
      </c>
      <c r="BG26" s="3">
        <f>IF(Soya!G28="",'Intermédiaire_Prod-Résultats'!BF26,Soya!G28)</f>
        <v>5.13</v>
      </c>
      <c r="BI26" s="3">
        <f>Orge!E28</f>
        <v>7.12</v>
      </c>
      <c r="BJ26" s="3">
        <f>IF(Orge!G28="",'Intermédiaire_Prod-Résultats'!BI26,Orge!G28)</f>
        <v>7.12</v>
      </c>
      <c r="BL26" s="3">
        <f>Avoine!E28</f>
        <v>8.4499999999999993</v>
      </c>
      <c r="BM26" s="3">
        <f>IF(Avoine!G28="",'Intermédiaire_Prod-Résultats'!BL26,Avoine!G28)</f>
        <v>8.4499999999999993</v>
      </c>
      <c r="BO26" s="3">
        <f>'Blé_d''automne'!E28</f>
        <v>8.4700000000000006</v>
      </c>
      <c r="BP26" s="3">
        <f>IF('Blé_d''automne'!G28="",'Intermédiaire_Prod-Résultats'!BO26,'Blé_d''automne'!G28)</f>
        <v>8.4700000000000006</v>
      </c>
      <c r="BR26" s="3">
        <f>Blé_printemps!E28</f>
        <v>8.4700000000000006</v>
      </c>
      <c r="BS26" s="3">
        <f>IF(Blé_printemps!G28="",'Intermédiaire_Prod-Résultats'!BR26,Blé_printemps!G28)</f>
        <v>8.4700000000000006</v>
      </c>
      <c r="BU26" s="3">
        <f>Sarrasin!E28</f>
        <v>35.57</v>
      </c>
      <c r="BV26" s="3">
        <f>IF(Sarrasin!G28="",'Intermédiaire_Prod-Résultats'!BU26,Sarrasin!G28)</f>
        <v>35.57</v>
      </c>
    </row>
    <row r="27" spans="1:74" x14ac:dyDescent="0.25">
      <c r="A27" t="s">
        <v>25</v>
      </c>
      <c r="D27" s="3">
        <f>'Maïs-grain'!D30*Saisies!B8*(1+Saisies!B39*Saisies!B59)</f>
        <v>19.61</v>
      </c>
      <c r="E27" s="3">
        <f>IF('Maïs-grain'!G30="",IF(Saisies!C8="",'Intermédiaire_Prod-Résultats'!D27,'Maïs-grain'!D30*Saisies!B8),'Maïs-grain'!G30)*(1+IF(Saisies!C39="",Saisies!B39,Saisies!C39)*IF(Saisies!C59="",Saisies!B59,Saisies!C59))</f>
        <v>19.61</v>
      </c>
      <c r="G27" s="3">
        <f>Canola!D29*Saisies!B9*(1+Saisies!B40*Saisies!B59)</f>
        <v>33.51</v>
      </c>
      <c r="H27" s="3">
        <f>IF(Canola!G29="",IF(Saisies!C9="",'Intermédiaire_Prod-Résultats'!G27,Canola!D29*Saisies!C9),Canola!G29)*(1+IF(Saisies!C40="",Saisies!B40,Saisies!C40)*IF(Saisies!C59="",Saisies!B59,Saisies!C59))</f>
        <v>33.51</v>
      </c>
      <c r="J27" s="3">
        <f>Soya!D29*Saisies!B10*(1+Saisies!B41*Saisies!B59)</f>
        <v>14.1</v>
      </c>
      <c r="K27" s="3">
        <f>IF(Soya!$G29="",IF(Saisies!$C$10="",'Intermédiaire_Prod-Résultats'!J27,Soya!$D29*Saisies!$C$10),Soya!$G29)*(1+IF(Saisies!C41="",Saisies!B41,Saisies!C41)*IF(Saisies!C59="",Saisies!B59,Saisies!C59))</f>
        <v>14.1</v>
      </c>
      <c r="M27" s="3">
        <f>Orge!D29*Saisies!B11*(1+Saisies!B42*Saisies!B59)</f>
        <v>39.92</v>
      </c>
      <c r="N27" s="3">
        <f>IF(Orge!$G29="",IF(Saisies!$C$11="",'Intermédiaire_Prod-Résultats'!M27,Orge!$D29*Saisies!$C$11),Orge!$G29)*(1+IF(Saisies!C42="",Saisies!B42,Saisies!C42)*IF(Saisies!C59="",Saisies!B59,Saisies!C59))</f>
        <v>39.92</v>
      </c>
      <c r="P27" s="3">
        <f>Avoine!D29*Saisies!B12*(1+Saisies!B43*Saisies!B59)</f>
        <v>30.5</v>
      </c>
      <c r="Q27" s="3">
        <f>IF(Avoine!$G29="",IF(Saisies!$C$12="",'Intermédiaire_Prod-Résultats'!P27,Avoine!$D29*Saisies!$C$12),Avoine!$G29)*(1+IF(Saisies!C43="",Saisies!B43,Saisies!C43)*IF(Saisies!C59="",Saisies!B59,Saisies!C59))</f>
        <v>30.5</v>
      </c>
      <c r="S27" s="3">
        <f>'Blé_d''automne'!D29*Saisies!B14*(1+Saisies!B45*Saisies!B59)</f>
        <v>51.96</v>
      </c>
      <c r="T27" s="3">
        <f>IF('Blé_d''automne'!G29="",IF(Saisies!C14="",'Intermédiaire_Prod-Résultats'!S27,'Blé_d''automne'!D29*Saisies!C14),'Blé_d''automne'!G29)*(1+IF(Saisies!C45="",Saisies!B45,Saisies!C45)*IF(Saisies!C59="",Saisies!B59,Saisies!C59))</f>
        <v>51.96</v>
      </c>
      <c r="V27" s="3">
        <f>Blé_printemps!D29*Saisies!B13*(1+Saisies!B44*Saisies!B59)</f>
        <v>51.960000000000008</v>
      </c>
      <c r="W27" s="3">
        <f>IF(Blé_printemps!G29="",IF(Saisies!C13="",'Intermédiaire_Prod-Résultats'!V27,Blé_printemps!D29*Saisies!C13),Blé_printemps!G29)*(1+IF(Saisies!C44="",Saisies!B44,Saisies!C44)*IF(Saisies!C59="",Saisies!B59,Saisies!C59))</f>
        <v>51.960000000000008</v>
      </c>
      <c r="Y27" s="3">
        <f>Sarrasin!D29*Saisies!B15*(1+Saisies!B46*Saisies!B59)</f>
        <v>1.55</v>
      </c>
      <c r="Z27" s="3">
        <f>IF(Sarrasin!G29="",Sarrasin!D29*IF(Saisies!C15="",Saisies!B15,Saisies!C15),Sarrasin!G29)*(1+IF(Saisies!C46="",Saisies!B46,Saisies!C46)*IF(Saisies!C59="",Saisies!B59,Saisies!C59))</f>
        <v>1.55</v>
      </c>
      <c r="AA27" s="42"/>
      <c r="AB27" s="37">
        <f>('Maïs-grain'!D30*Saisies!B8)*(1+Saisies!B39*Saisies!B60)</f>
        <v>20.688549999999999</v>
      </c>
      <c r="AC27" s="3">
        <f>IF('Maïs-grain'!G30="",'Maïs-grain'!D30*IF(Saisies!C8="",Saisies!B8,Saisies!C8),'Maïs-grain'!G30)*(1+IF(Saisies!C39="",Saisies!B39,Saisies!C39)*IF(Saisies!C60="",Saisies!B60,Saisies!C60))</f>
        <v>20.688549999999999</v>
      </c>
      <c r="AE27" s="3">
        <f>(Canola!D29*Saisies!B9)*(1+Saisies!B40*Saisies!B60)</f>
        <v>33.51</v>
      </c>
      <c r="AF27" s="3">
        <f>IF(Canola!G29="",Canola!D29*IF(Saisies!C9="",Saisies!B9,Saisies!C9),Canola!G29)*(1+IF(Saisies!C40="",Saisies!B40,Saisies!C40)*IF(Saisies!C60="",Saisies!B60,Saisies!C60))</f>
        <v>33.51</v>
      </c>
      <c r="AH27" s="3">
        <f>(Soya!D29*Saisies!B10)*(1+Saisies!B41*Saisies!B60)</f>
        <v>14.1</v>
      </c>
      <c r="AI27" s="3">
        <f>IF(Soya!G29="",Soya!D29*IF(Saisies!C10="",Saisies!B10,Saisies!C10),Soya!G29)*(1+IF(Saisies!C41="",Saisies!B41,Saisies!C41)*IF(Saisies!C60="",Saisies!B60,Saisies!C60))</f>
        <v>14.1</v>
      </c>
      <c r="AK27" s="3">
        <f>(Orge!D29*Saisies!B11)*(1+Saisies!B42*Saisies!B60)</f>
        <v>42.115600000000001</v>
      </c>
      <c r="AL27" s="3">
        <f>IF(Orge!G29="",Orge!D29*IF(Saisies!C11="",Saisies!B11,Saisies!C11),Orge!G29)*(1+IF(Saisies!C42="",Saisies!B42,Saisies!C42)*IF(Saisies!C60="",Saisies!B60,Saisies!C60))</f>
        <v>42.115600000000001</v>
      </c>
      <c r="AN27" s="3">
        <f>(Avoine!D29*Saisies!B12)*(1+Saisies!B43*Saisies!B60)</f>
        <v>32.177499999999995</v>
      </c>
      <c r="AO27" s="3">
        <f>IF(Avoine!G29="",Avoine!D29*IF(Saisies!C12="",Saisies!B12,Saisies!C12),Avoine!G29)*(1+IF(Saisies!C43="",Saisies!B43,Saisies!C43)*IF(Saisies!C60="",Saisies!B60,Saisies!C60))</f>
        <v>32.177499999999995</v>
      </c>
      <c r="AQ27" s="3">
        <f>('Blé_d''automne'!D29*Saisies!B14)*(1+Saisies!B45*Saisies!B60)</f>
        <v>54.817799999999998</v>
      </c>
      <c r="AR27" s="3">
        <f>IF('Blé_d''automne'!G29="",'Blé_d''automne'!D29*IF(Saisies!C14="",Saisies!B14,Saisies!C14),'Blé_d''automne'!G29)*(1+IF(Saisies!C45="",Saisies!B45,Saisies!C45)*IF(Saisies!C60="",Saisies!B60,Saisies!C60))</f>
        <v>54.817799999999998</v>
      </c>
      <c r="AT27" s="3">
        <f>(Blé_printemps!D29*Saisies!B13)*(1+Saisies!B44*Saisies!B60)</f>
        <v>54.817800000000005</v>
      </c>
      <c r="AU27" s="3">
        <f>IF(Blé_printemps!G29="",Blé_printemps!D29*IF(Saisies!C13="",Saisies!B13,Saisies!C13),Blé_printemps!G29)*(1+IF(Saisies!C44="",Saisies!B44,Saisies!C44)*IF(Saisies!C60="",Saisies!B60,Saisies!C60))</f>
        <v>54.817800000000005</v>
      </c>
      <c r="AW27" s="3">
        <f>(Sarrasin!D29*Saisies!B15)*(1+Saisies!B46*Saisies!B60)</f>
        <v>1.55</v>
      </c>
      <c r="AX27" s="3">
        <f>IF(Sarrasin!G29="",Sarrasin!D29*IF(Saisies!C15="",Saisies!B15,Saisies!C15),Sarrasin!G29)*(1+IF(Saisies!C46="",Saisies!B46,Saisies!C46)*IF(Saisies!C60="",Saisies!B60,Saisies!C60))</f>
        <v>1.55</v>
      </c>
      <c r="AY27" s="42"/>
      <c r="AZ27" s="37">
        <f>('Maïs-grain'!D30*Saisies!B8)*(1+Saisies!B39*Saisies!B61)</f>
        <v>21.767100000000003</v>
      </c>
      <c r="BA27" s="3">
        <f>IF('Maïs-grain'!G30="",'Maïs-grain'!D30*IF(Saisies!C8="",Saisies!B8,Saisies!C8),'Maïs-grain'!G30)*(1+IF(Saisies!C39="",Saisies!B39,Saisies!C39)*IF(Saisies!C61="",Saisies!B61,Saisies!C61))</f>
        <v>21.767100000000003</v>
      </c>
      <c r="BC27" s="3">
        <f>(Canola!D29*Saisies!B9)*(1+Saisies!B40*Saisies!B61)</f>
        <v>33.51</v>
      </c>
      <c r="BD27" s="3">
        <f>IF(Canola!G29="",Canola!D29*IF(Saisies!C9="",Saisies!B9,Saisies!C9),Canola!G29)*(1+IF(Saisies!C40="",Saisies!B40,Saisies!C40)*IF(Saisies!C61="",Saisies!B61,Saisies!C61))</f>
        <v>33.51</v>
      </c>
      <c r="BF27" s="3">
        <f>(Soya!D29*Saisies!B10)*(1+Saisies!B41*Saisies!B61)</f>
        <v>14.1</v>
      </c>
      <c r="BG27" s="3">
        <f>IF(Soya!G29="",Soya!D29*IF(Saisies!C10="",Saisies!B10,Saisies!C10),Soya!G29)*(1+IF(Saisies!C41="",Saisies!B41,Saisies!C41)*IF(Saisies!C61="",Saisies!B61,Saisies!C61))</f>
        <v>14.1</v>
      </c>
      <c r="BI27" s="3">
        <f>(Orge!D29*Saisies!B11)*(1+Saisies!B42*Saisies!B61)</f>
        <v>44.311200000000007</v>
      </c>
      <c r="BJ27" s="3">
        <f>IF(Orge!G29="",Orge!D29*IF(Saisies!C11="",Saisies!B11,Saisies!C11),Orge!G29)*(1+IF(Saisies!C42="",Saisies!B42,Saisies!C42)*IF(Saisies!C61="",Saisies!B61,Saisies!C61))</f>
        <v>44.311200000000007</v>
      </c>
      <c r="BL27" s="3">
        <f>(Avoine!D29*Saisies!B12)*(1+Saisies!B43*Saisies!B61)</f>
        <v>33.855000000000004</v>
      </c>
      <c r="BM27" s="3">
        <f>IF(Avoine!G29="",Avoine!D29*IF(Saisies!C12="",Saisies!B12,Saisies!C12),Avoine!G29)*(1+IF(Saisies!C43="",Saisies!B43,Saisies!C43)*IF(Saisies!C61="",Saisies!B61,Saisies!C61))</f>
        <v>33.855000000000004</v>
      </c>
      <c r="BO27" s="3">
        <f>('Blé_d''automne'!D29*Saisies!B14)*(1+Saisies!B45*Saisies!B61)</f>
        <v>57.675600000000003</v>
      </c>
      <c r="BP27" s="3">
        <f>IF('Blé_d''automne'!G29="",'Blé_d''automne'!D29*IF(Saisies!C14="",Saisies!B14,Saisies!C14),'Blé_d''automne'!G29)*(1+IF(Saisies!C45="",Saisies!B45,Saisies!C45)*IF(Saisies!C61="",Saisies!B61,Saisies!C61))</f>
        <v>57.675600000000003</v>
      </c>
      <c r="BR27" s="3">
        <f>(Blé_printemps!D29*Saisies!B13)*(1+Saisies!B44*Saisies!B61)</f>
        <v>57.675600000000017</v>
      </c>
      <c r="BS27" s="3">
        <f>IF(Blé_printemps!G29="",Blé_printemps!D29*IF(Saisies!C13="",Saisies!B13,Saisies!C13),Blé_printemps!G29)*(1+IF(Saisies!C44="",Saisies!B44,Saisies!C44)*IF(Saisies!C61="",Saisies!B61,Saisies!C61))</f>
        <v>57.675600000000017</v>
      </c>
      <c r="BU27" s="3">
        <f>(Sarrasin!D29*Saisies!B15)*(1+Saisies!B46*Saisies!B61)</f>
        <v>1.55</v>
      </c>
      <c r="BV27" s="3">
        <f>IF(Sarrasin!G29="",Sarrasin!D29*IF(Saisies!C15="",Saisies!B15,Saisies!C15),Sarrasin!G29)*(1+IF(Saisies!C46="",Saisies!B46,Saisies!C46)*IF(Saisies!C61="",Saisies!B61,Saisies!C61))</f>
        <v>1.55</v>
      </c>
    </row>
    <row r="28" spans="1:74" x14ac:dyDescent="0.25">
      <c r="A28" t="s">
        <v>26</v>
      </c>
      <c r="D28" s="3">
        <f>'Maïs-grain'!E31</f>
        <v>9.24</v>
      </c>
      <c r="E28" s="3">
        <f>IF('Maïs-grain'!G31="",'Intermédiaire_Prod-Résultats'!D28,'Maïs-grain'!G31)</f>
        <v>9.24</v>
      </c>
      <c r="G28" s="3">
        <f>Canola!E30</f>
        <v>18.18</v>
      </c>
      <c r="H28" s="3">
        <f>IF(Canola!G30="",'Intermédiaire_Prod-Résultats'!G28,Canola!G30)</f>
        <v>18.18</v>
      </c>
      <c r="J28" s="3">
        <f>Soya!E30</f>
        <v>6.55</v>
      </c>
      <c r="K28" s="3">
        <f>IF(Soya!G30="",'Intermédiaire_Prod-Résultats'!J28,Soya!G30)</f>
        <v>6.55</v>
      </c>
      <c r="M28" s="3">
        <f>Orge!E30</f>
        <v>16.420000000000002</v>
      </c>
      <c r="N28" s="3">
        <f>IF(Orge!G30="",'Intermédiaire_Prod-Résultats'!M28,Orge!G30)</f>
        <v>16.420000000000002</v>
      </c>
      <c r="P28" s="3">
        <f>Avoine!E30</f>
        <v>12.31</v>
      </c>
      <c r="Q28" s="3">
        <f>IF(Avoine!G30="",'Intermédiaire_Prod-Résultats'!P28,Avoine!G30)</f>
        <v>12.31</v>
      </c>
      <c r="S28" s="3">
        <f>'Blé_d''automne'!E30</f>
        <v>19.45</v>
      </c>
      <c r="T28" s="3">
        <f>IF('Blé_d''automne'!G30="",'Intermédiaire_Prod-Résultats'!S28,'Blé_d''automne'!G30)</f>
        <v>19.45</v>
      </c>
      <c r="V28" s="3">
        <f>Blé_printemps!E30</f>
        <v>19.45</v>
      </c>
      <c r="W28" s="3">
        <f>IF(Blé_printemps!G30="",'Intermédiaire_Prod-Résultats'!V28,Blé_printemps!G30)</f>
        <v>19.45</v>
      </c>
      <c r="Y28" s="3">
        <f>Sarrasin!E30</f>
        <v>94.01</v>
      </c>
      <c r="Z28" s="3">
        <f>IF(Sarrasin!G30="",'Intermédiaire_Prod-Résultats'!Y28,Sarrasin!G30)</f>
        <v>94.01</v>
      </c>
      <c r="AA28" s="42"/>
      <c r="AB28" s="37">
        <f>'Maïs-grain'!E31</f>
        <v>9.24</v>
      </c>
      <c r="AC28" s="3">
        <f>IF('Maïs-grain'!G31="",'Intermédiaire_Prod-Résultats'!AB28,'Maïs-grain'!G31)</f>
        <v>9.24</v>
      </c>
      <c r="AE28" s="3">
        <f>Canola!E30</f>
        <v>18.18</v>
      </c>
      <c r="AF28" s="3">
        <f>IF(Canola!G30="",'Intermédiaire_Prod-Résultats'!AE28,Canola!G30)</f>
        <v>18.18</v>
      </c>
      <c r="AH28" s="3">
        <f>Soya!E30</f>
        <v>6.55</v>
      </c>
      <c r="AI28" s="3">
        <f>IF(Soya!G30="",'Intermédiaire_Prod-Résultats'!AH28,Soya!G30)</f>
        <v>6.55</v>
      </c>
      <c r="AK28" s="3">
        <f>Orge!E30</f>
        <v>16.420000000000002</v>
      </c>
      <c r="AL28" s="3">
        <f>IF(Orge!G30="",'Intermédiaire_Prod-Résultats'!AK28,Orge!G30)</f>
        <v>16.420000000000002</v>
      </c>
      <c r="AN28" s="3">
        <f>Avoine!E30</f>
        <v>12.31</v>
      </c>
      <c r="AO28" s="3">
        <f>IF(Avoine!G30="",'Intermédiaire_Prod-Résultats'!AN28,Avoine!G30)</f>
        <v>12.31</v>
      </c>
      <c r="AQ28" s="3">
        <f>'Blé_d''automne'!E30</f>
        <v>19.45</v>
      </c>
      <c r="AR28" s="3">
        <f>IF('Blé_d''automne'!G30="",'Intermédiaire_Prod-Résultats'!AQ28,'Blé_d''automne'!G30)</f>
        <v>19.45</v>
      </c>
      <c r="AT28" s="3">
        <f>Blé_printemps!E30</f>
        <v>19.45</v>
      </c>
      <c r="AU28" s="3">
        <f>IF(Blé_printemps!G30="",'Intermédiaire_Prod-Résultats'!AT28,Blé_printemps!G30)</f>
        <v>19.45</v>
      </c>
      <c r="AW28" s="3">
        <f>Sarrasin!E30</f>
        <v>94.01</v>
      </c>
      <c r="AX28" s="3">
        <f>IF(Sarrasin!G30="",'Intermédiaire_Prod-Résultats'!AW28,Sarrasin!G30)</f>
        <v>94.01</v>
      </c>
      <c r="AY28" s="42"/>
      <c r="AZ28" s="37">
        <f>'Maïs-grain'!E31</f>
        <v>9.24</v>
      </c>
      <c r="BA28" s="3">
        <f>IF('Maïs-grain'!G31="",'Intermédiaire_Prod-Résultats'!AZ28,'Maïs-grain'!G31)</f>
        <v>9.24</v>
      </c>
      <c r="BC28" s="3">
        <f>Canola!E30</f>
        <v>18.18</v>
      </c>
      <c r="BD28" s="3">
        <f>IF(Canola!G30="",'Intermédiaire_Prod-Résultats'!BC28,Canola!G30)</f>
        <v>18.18</v>
      </c>
      <c r="BF28" s="3">
        <f>Soya!E30</f>
        <v>6.55</v>
      </c>
      <c r="BG28" s="3">
        <f>IF(Soya!G30="",'Intermédiaire_Prod-Résultats'!BF28,Soya!G30)</f>
        <v>6.55</v>
      </c>
      <c r="BI28" s="3">
        <f>Orge!E30</f>
        <v>16.420000000000002</v>
      </c>
      <c r="BJ28" s="3">
        <f>IF(Orge!G30="",'Intermédiaire_Prod-Résultats'!BI28,Orge!G30)</f>
        <v>16.420000000000002</v>
      </c>
      <c r="BL28" s="3">
        <f>Avoine!E30</f>
        <v>12.31</v>
      </c>
      <c r="BM28" s="3">
        <f>IF(Avoine!G30="",'Intermédiaire_Prod-Résultats'!BL28,Avoine!G30)</f>
        <v>12.31</v>
      </c>
      <c r="BO28" s="3">
        <f>'Blé_d''automne'!E30</f>
        <v>19.45</v>
      </c>
      <c r="BP28" s="3">
        <f>IF('Blé_d''automne'!G30="",'Intermédiaire_Prod-Résultats'!BO28,'Blé_d''automne'!G30)</f>
        <v>19.45</v>
      </c>
      <c r="BR28" s="3">
        <f>Blé_printemps!E30</f>
        <v>19.45</v>
      </c>
      <c r="BS28" s="3">
        <f>IF(Blé_printemps!G30="",'Intermédiaire_Prod-Résultats'!BR28,Blé_printemps!G30)</f>
        <v>19.45</v>
      </c>
      <c r="BU28" s="3">
        <f>Sarrasin!E30</f>
        <v>94.01</v>
      </c>
      <c r="BV28" s="3">
        <f>IF(Sarrasin!G30="",'Intermédiaire_Prod-Résultats'!BU28,Sarrasin!G30)</f>
        <v>94.01</v>
      </c>
    </row>
    <row r="29" spans="1:74" x14ac:dyDescent="0.25">
      <c r="B29" s="1" t="s">
        <v>27</v>
      </c>
      <c r="D29" s="6">
        <f>SUM(D15:D28)</f>
        <v>1561.1999999999996</v>
      </c>
      <c r="E29" s="6">
        <f>SUM(E15:E28)</f>
        <v>1561.1999999999996</v>
      </c>
      <c r="G29" s="6">
        <f>SUM(G15:G28)</f>
        <v>874.98</v>
      </c>
      <c r="H29" s="6">
        <f>SUM(H15:H28)</f>
        <v>874.98</v>
      </c>
      <c r="J29" s="6">
        <f>SUM(J15:J28)</f>
        <v>906.92000000000007</v>
      </c>
      <c r="K29" s="6">
        <f>SUM(K15:K28)</f>
        <v>906.92000000000007</v>
      </c>
      <c r="M29" s="6">
        <f>SUM(M15:M28)</f>
        <v>688.60999999999979</v>
      </c>
      <c r="N29" s="6">
        <f>SUM(N15:N28)</f>
        <v>688.60999999999979</v>
      </c>
      <c r="P29" s="6">
        <f>SUM(P15:P28)</f>
        <v>531.1099999999999</v>
      </c>
      <c r="Q29" s="6">
        <f>SUM(Q15:Q28)</f>
        <v>531.1099999999999</v>
      </c>
      <c r="S29" s="6">
        <f>SUM(S15:S28)</f>
        <v>766.62000000000012</v>
      </c>
      <c r="T29" s="6">
        <f>SUM(T15:T28)</f>
        <v>766.62000000000012</v>
      </c>
      <c r="V29" s="6">
        <f>SUM(V15:V28)</f>
        <v>805.23000000000013</v>
      </c>
      <c r="W29" s="6">
        <f>SUM(W15:W28)</f>
        <v>805.23000000000013</v>
      </c>
      <c r="Y29" s="6">
        <f>SUM(Y15:Y28)</f>
        <v>413.23</v>
      </c>
      <c r="Z29" s="6">
        <f>SUM(Z15:Z28)</f>
        <v>413.23</v>
      </c>
      <c r="AA29" s="42"/>
      <c r="AB29" s="6">
        <f>SUM(AB15:AB28)</f>
        <v>1575.4834999999998</v>
      </c>
      <c r="AC29" s="6">
        <f>SUM(AC15:AC28)</f>
        <v>1575.4834999999998</v>
      </c>
      <c r="AE29" s="6">
        <f>SUM(AE15:AE28)</f>
        <v>874.98</v>
      </c>
      <c r="AF29" s="6">
        <f>SUM(AF15:AF28)</f>
        <v>874.98</v>
      </c>
      <c r="AH29" s="6">
        <f>SUM(AH15:AH28)</f>
        <v>880.17000000000007</v>
      </c>
      <c r="AI29" s="6">
        <f>SUM(AI15:AI28)</f>
        <v>880.17000000000007</v>
      </c>
      <c r="AK29" s="6">
        <f>SUM(AK15:AK28)</f>
        <v>694.22384999999986</v>
      </c>
      <c r="AL29" s="6">
        <f>SUM(AL15:AL28)</f>
        <v>694.22384999999986</v>
      </c>
      <c r="AN29" s="6">
        <f>SUM(AN15:AN28)</f>
        <v>534.41989999999987</v>
      </c>
      <c r="AO29" s="6">
        <f>SUM(AO15:AO28)</f>
        <v>534.41989999999987</v>
      </c>
      <c r="AQ29" s="6">
        <f>SUM(AQ15:AQ28)</f>
        <v>771.83455000000004</v>
      </c>
      <c r="AR29" s="6">
        <f>SUM(AR15:AR28)</f>
        <v>771.83455000000004</v>
      </c>
      <c r="AT29" s="6">
        <f>SUM(AT15:AT28)</f>
        <v>810.44455000000016</v>
      </c>
      <c r="AU29" s="6">
        <f>SUM(AU15:AU28)</f>
        <v>810.44455000000016</v>
      </c>
      <c r="AW29" s="6">
        <f>SUM(AW15:AW28)</f>
        <v>413.23</v>
      </c>
      <c r="AX29" s="6">
        <f>SUM(AX15:AX28)</f>
        <v>413.23</v>
      </c>
      <c r="AY29" s="42"/>
      <c r="AZ29" s="6">
        <f>SUM(AZ15:AZ28)</f>
        <v>1589.7669999999998</v>
      </c>
      <c r="BA29" s="6">
        <f>SUM(BA15:BA28)</f>
        <v>1589.7669999999998</v>
      </c>
      <c r="BC29" s="6">
        <f>SUM(BC15:BC28)</f>
        <v>874.98</v>
      </c>
      <c r="BD29" s="6">
        <f>SUM(BD15:BD28)</f>
        <v>874.98</v>
      </c>
      <c r="BF29" s="6">
        <f>SUM(BF15:BF28)</f>
        <v>853.42000000000007</v>
      </c>
      <c r="BG29" s="6">
        <f>SUM(BG15:BG28)</f>
        <v>853.42000000000007</v>
      </c>
      <c r="BI29" s="6">
        <f>SUM(BI15:BI28)</f>
        <v>699.83769999999981</v>
      </c>
      <c r="BJ29" s="6">
        <f>SUM(BJ15:BJ28)</f>
        <v>699.83769999999981</v>
      </c>
      <c r="BL29" s="6">
        <f>SUM(BL15:BL28)</f>
        <v>537.72979999999984</v>
      </c>
      <c r="BM29" s="6">
        <f>SUM(BM15:BM28)</f>
        <v>537.72979999999984</v>
      </c>
      <c r="BO29" s="6">
        <f>SUM(BO15:BO28)</f>
        <v>777.04910000000007</v>
      </c>
      <c r="BP29" s="6">
        <f>SUM(BP15:BP28)</f>
        <v>777.04910000000007</v>
      </c>
      <c r="BR29" s="6">
        <f>SUM(BR15:BR28)</f>
        <v>815.65910000000008</v>
      </c>
      <c r="BS29" s="6">
        <f>SUM(BS15:BS28)</f>
        <v>815.65910000000008</v>
      </c>
      <c r="BU29" s="6">
        <f>SUM(BU15:BU28)</f>
        <v>413.23</v>
      </c>
      <c r="BV29" s="6">
        <f>SUM(BV15:BV28)</f>
        <v>413.23</v>
      </c>
    </row>
    <row r="30" spans="1:74" x14ac:dyDescent="0.25">
      <c r="D30" s="3"/>
      <c r="E30" s="3"/>
      <c r="G30" s="3"/>
      <c r="H30" s="3"/>
      <c r="J30" s="3"/>
      <c r="K30" s="3"/>
      <c r="M30" s="3"/>
      <c r="N30" s="3"/>
      <c r="P30" s="3"/>
      <c r="Q30" s="3"/>
      <c r="S30" s="3"/>
      <c r="T30" s="3"/>
      <c r="V30" s="3"/>
      <c r="W30" s="3"/>
      <c r="Y30" s="3"/>
      <c r="Z30" s="3"/>
      <c r="AA30" s="42"/>
      <c r="AB30" s="37"/>
      <c r="AC30" s="3"/>
      <c r="AE30" s="3"/>
      <c r="AF30" s="3"/>
      <c r="AH30" s="3"/>
      <c r="AI30" s="3"/>
      <c r="AK30" s="3"/>
      <c r="AL30" s="3"/>
      <c r="AN30" s="3"/>
      <c r="AO30" s="3"/>
      <c r="AQ30" s="3"/>
      <c r="AR30" s="3"/>
      <c r="AT30" s="3"/>
      <c r="AU30" s="3"/>
      <c r="AW30" s="3"/>
      <c r="AX30" s="3"/>
      <c r="AY30" s="42"/>
      <c r="AZ30" s="37"/>
      <c r="BA30" s="3"/>
      <c r="BC30" s="3"/>
      <c r="BD30" s="3"/>
      <c r="BF30" s="3"/>
      <c r="BG30" s="3"/>
      <c r="BI30" s="3"/>
      <c r="BJ30" s="3"/>
      <c r="BL30" s="3"/>
      <c r="BM30" s="3"/>
      <c r="BO30" s="3"/>
      <c r="BP30" s="3"/>
      <c r="BR30" s="3"/>
      <c r="BS30" s="3"/>
      <c r="BU30" s="3"/>
      <c r="BV30" s="3"/>
    </row>
    <row r="31" spans="1:74" x14ac:dyDescent="0.25">
      <c r="A31" t="s">
        <v>28</v>
      </c>
      <c r="D31" s="3">
        <f>'Maïs-grain'!E35</f>
        <v>0</v>
      </c>
      <c r="E31" s="3">
        <f>IF('Maïs-grain'!G35="",'Intermédiaire_Prod-Résultats'!D31,'Maïs-grain'!G35)</f>
        <v>0</v>
      </c>
      <c r="G31" s="3">
        <f>Canola!E34</f>
        <v>10.57</v>
      </c>
      <c r="H31" s="3">
        <f>IF(Canola!G34="",'Intermédiaire_Prod-Résultats'!G31,Canola!G34)</f>
        <v>10.57</v>
      </c>
      <c r="J31" s="3">
        <f>Soya!E34</f>
        <v>0</v>
      </c>
      <c r="K31" s="3">
        <f>IF(Soya!G34="",'Intermédiaire_Prod-Résultats'!J31,Soya!G34)</f>
        <v>0</v>
      </c>
      <c r="M31" s="3">
        <f>Orge!E34</f>
        <v>47.09</v>
      </c>
      <c r="N31" s="3">
        <f>IF(Orge!G34="",'Intermédiaire_Prod-Résultats'!M31,Orge!G34)</f>
        <v>47.09</v>
      </c>
      <c r="P31" s="3">
        <f>Avoine!E34</f>
        <v>69.78</v>
      </c>
      <c r="Q31" s="3">
        <f>IF(Avoine!G34="",'Intermédiaire_Prod-Résultats'!P31,Avoine!G34)</f>
        <v>69.78</v>
      </c>
      <c r="S31" s="3">
        <f>'Blé_d''automne'!E34</f>
        <v>9.34</v>
      </c>
      <c r="T31" s="3">
        <f>IF('Blé_d''automne'!G34="",'Intermédiaire_Prod-Résultats'!S31,'Blé_d''automne'!G34)</f>
        <v>9.34</v>
      </c>
      <c r="V31" s="3">
        <f>Blé_printemps!E34</f>
        <v>9.34</v>
      </c>
      <c r="W31" s="3">
        <f>IF(Blé_printemps!G34="",'Intermédiaire_Prod-Résultats'!V31,Blé_printemps!G34)</f>
        <v>9.34</v>
      </c>
      <c r="Y31" s="3">
        <f>Sarrasin!E34</f>
        <v>0</v>
      </c>
      <c r="Z31" s="3">
        <f>IF(Sarrasin!G34="",'Intermédiaire_Prod-Résultats'!Y31,Sarrasin!G34)</f>
        <v>0</v>
      </c>
      <c r="AA31" s="42"/>
      <c r="AB31" s="37">
        <f>'Maïs-grain'!E35</f>
        <v>0</v>
      </c>
      <c r="AC31" s="3">
        <f>IF('Maïs-grain'!G35="",'Intermédiaire_Prod-Résultats'!AB31,'Maïs-grain'!G35)</f>
        <v>0</v>
      </c>
      <c r="AE31" s="3">
        <f>Canola!E34</f>
        <v>10.57</v>
      </c>
      <c r="AF31" s="3">
        <f>IF(Canola!G34="",'Intermédiaire_Prod-Résultats'!AE31,Canola!G34)</f>
        <v>10.57</v>
      </c>
      <c r="AH31" s="3">
        <f>Soya!E34</f>
        <v>0</v>
      </c>
      <c r="AI31" s="3">
        <f>IF(Soya!G34="",'Intermédiaire_Prod-Résultats'!AH31,Soya!G34)</f>
        <v>0</v>
      </c>
      <c r="AK31" s="3">
        <f>Orge!E34</f>
        <v>47.09</v>
      </c>
      <c r="AL31" s="3">
        <f>IF(Orge!G34="",'Intermédiaire_Prod-Résultats'!AK31,Orge!G34)</f>
        <v>47.09</v>
      </c>
      <c r="AN31" s="3">
        <f>Avoine!E34</f>
        <v>69.78</v>
      </c>
      <c r="AO31" s="3">
        <f>IF(Avoine!G34="",'Intermédiaire_Prod-Résultats'!AN31,Avoine!G34)</f>
        <v>69.78</v>
      </c>
      <c r="AQ31" s="3">
        <f>'Blé_d''automne'!E34</f>
        <v>9.34</v>
      </c>
      <c r="AR31" s="3">
        <f>IF('Blé_d''automne'!G34="",'Intermédiaire_Prod-Résultats'!AQ31,'Blé_d''automne'!G34)</f>
        <v>9.34</v>
      </c>
      <c r="AT31" s="3">
        <f>Blé_printemps!E34</f>
        <v>9.34</v>
      </c>
      <c r="AU31" s="3">
        <f>IF(Blé_printemps!G34="",'Intermédiaire_Prod-Résultats'!AT31,Blé_printemps!G34)</f>
        <v>9.34</v>
      </c>
      <c r="AW31" s="3">
        <f>Sarrasin!E34</f>
        <v>0</v>
      </c>
      <c r="AX31" s="3">
        <f>IF(Sarrasin!G34="",'Intermédiaire_Prod-Résultats'!AW31,Sarrasin!G34)</f>
        <v>0</v>
      </c>
      <c r="AY31" s="42"/>
      <c r="AZ31" s="37">
        <f>'Maïs-grain'!E35</f>
        <v>0</v>
      </c>
      <c r="BA31" s="3">
        <f>IF('Maïs-grain'!G35="",'Intermédiaire_Prod-Résultats'!AZ31,'Maïs-grain'!G35)</f>
        <v>0</v>
      </c>
      <c r="BC31" s="3">
        <f>Canola!E34</f>
        <v>10.57</v>
      </c>
      <c r="BD31" s="3">
        <f>IF(Canola!G34="",'Intermédiaire_Prod-Résultats'!BC31,Canola!G34)</f>
        <v>10.57</v>
      </c>
      <c r="BF31" s="3">
        <f>Soya!E34</f>
        <v>0</v>
      </c>
      <c r="BG31" s="3">
        <f>IF(Soya!G34="",'Intermédiaire_Prod-Résultats'!BF31,Soya!G34)</f>
        <v>0</v>
      </c>
      <c r="BI31" s="3">
        <f>Orge!E34</f>
        <v>47.09</v>
      </c>
      <c r="BJ31" s="3">
        <f>IF(Orge!G34="",'Intermédiaire_Prod-Résultats'!BI31,Orge!G34)</f>
        <v>47.09</v>
      </c>
      <c r="BL31" s="3">
        <f>Avoine!E34</f>
        <v>69.78</v>
      </c>
      <c r="BM31" s="3">
        <f>IF(Avoine!G34="",'Intermédiaire_Prod-Résultats'!BL31,Avoine!G34)</f>
        <v>69.78</v>
      </c>
      <c r="BO31" s="3">
        <f>'Blé_d''automne'!E34</f>
        <v>9.34</v>
      </c>
      <c r="BP31" s="3">
        <f>IF('Blé_d''automne'!G34="",'Intermédiaire_Prod-Résultats'!BO31,'Blé_d''automne'!G34)</f>
        <v>9.34</v>
      </c>
      <c r="BR31" s="3">
        <f>Blé_printemps!E34</f>
        <v>9.34</v>
      </c>
      <c r="BS31" s="3">
        <f>IF(Blé_printemps!G34="",'Intermédiaire_Prod-Résultats'!BR31,Blé_printemps!G34)</f>
        <v>9.34</v>
      </c>
      <c r="BU31" s="3">
        <f>Sarrasin!E34</f>
        <v>0</v>
      </c>
      <c r="BV31" s="3">
        <f>IF(Sarrasin!G34="",'Intermédiaire_Prod-Résultats'!BU31,Sarrasin!G34)</f>
        <v>0</v>
      </c>
    </row>
    <row r="32" spans="1:74" x14ac:dyDescent="0.25">
      <c r="A32" t="s">
        <v>29</v>
      </c>
      <c r="D32" s="3">
        <f>'Maïs-grain'!E36</f>
        <v>8.44</v>
      </c>
      <c r="E32" s="3">
        <f>IF('Maïs-grain'!G36="",'Intermédiaire_Prod-Résultats'!D32,'Maïs-grain'!G36)</f>
        <v>8.44</v>
      </c>
      <c r="G32" s="3">
        <f>Canola!E35</f>
        <v>6.78</v>
      </c>
      <c r="H32" s="3">
        <f>IF(Canola!G35="",'Intermédiaire_Prod-Résultats'!G32,Canola!G35)</f>
        <v>6.78</v>
      </c>
      <c r="J32" s="3">
        <f>Soya!E35</f>
        <v>7.84</v>
      </c>
      <c r="K32" s="3">
        <f>IF(Soya!G35="",'Intermédiaire_Prod-Résultats'!J32,Soya!G35)</f>
        <v>7.84</v>
      </c>
      <c r="M32" s="3">
        <f>Orge!E35</f>
        <v>10.55</v>
      </c>
      <c r="N32" s="3">
        <f>IF(Orge!G35="",'Intermédiaire_Prod-Résultats'!M32,Orge!G35)</f>
        <v>10.55</v>
      </c>
      <c r="P32" s="3">
        <f>Avoine!E35</f>
        <v>3.51</v>
      </c>
      <c r="Q32" s="3">
        <f>IF(Avoine!G35="",'Intermédiaire_Prod-Résultats'!P32,Avoine!G35)</f>
        <v>3.51</v>
      </c>
      <c r="S32" s="3">
        <f>'Blé_d''automne'!E35</f>
        <v>36.47</v>
      </c>
      <c r="T32" s="3">
        <f>IF('Blé_d''automne'!G35="",'Intermédiaire_Prod-Résultats'!S32,'Blé_d''automne'!G35)</f>
        <v>36.47</v>
      </c>
      <c r="V32" s="3">
        <f>Blé_printemps!E35</f>
        <v>36.47</v>
      </c>
      <c r="W32" s="3">
        <f>IF(Blé_printemps!G35="",'Intermédiaire_Prod-Résultats'!V32,Blé_printemps!G35)</f>
        <v>36.47</v>
      </c>
      <c r="Y32" s="3">
        <f>Sarrasin!E35</f>
        <v>0</v>
      </c>
      <c r="Z32" s="3">
        <f>IF(Sarrasin!G35="",'Intermédiaire_Prod-Résultats'!Y32,Sarrasin!G35)</f>
        <v>0</v>
      </c>
      <c r="AA32" s="42"/>
      <c r="AB32" s="37">
        <f>'Maïs-grain'!E36</f>
        <v>8.44</v>
      </c>
      <c r="AC32" s="3">
        <f>IF('Maïs-grain'!G36="",'Intermédiaire_Prod-Résultats'!AB32,'Maïs-grain'!G36)</f>
        <v>8.44</v>
      </c>
      <c r="AE32" s="3">
        <f>Canola!E35</f>
        <v>6.78</v>
      </c>
      <c r="AF32" s="3">
        <f>IF(Canola!G35="",'Intermédiaire_Prod-Résultats'!AE32,Canola!G35)</f>
        <v>6.78</v>
      </c>
      <c r="AH32" s="3">
        <f>Soya!E35</f>
        <v>7.84</v>
      </c>
      <c r="AI32" s="3">
        <f>IF(Soya!G35="",'Intermédiaire_Prod-Résultats'!AH32,Soya!G35)</f>
        <v>7.84</v>
      </c>
      <c r="AK32" s="3">
        <f>Orge!E35</f>
        <v>10.55</v>
      </c>
      <c r="AL32" s="3">
        <f>IF(Orge!G35="",'Intermédiaire_Prod-Résultats'!AK32,Orge!G35)</f>
        <v>10.55</v>
      </c>
      <c r="AN32" s="3">
        <f>Avoine!E35</f>
        <v>3.51</v>
      </c>
      <c r="AO32" s="3">
        <f>IF(Avoine!G35="",'Intermédiaire_Prod-Résultats'!AN32,Avoine!G35)</f>
        <v>3.51</v>
      </c>
      <c r="AQ32" s="3">
        <f>'Blé_d''automne'!E35</f>
        <v>36.47</v>
      </c>
      <c r="AR32" s="3">
        <f>IF('Blé_d''automne'!G35="",'Intermédiaire_Prod-Résultats'!AQ32,'Blé_d''automne'!G35)</f>
        <v>36.47</v>
      </c>
      <c r="AT32" s="3">
        <f>Blé_printemps!E35</f>
        <v>36.47</v>
      </c>
      <c r="AU32" s="3">
        <f>IF(Blé_printemps!G35="",'Intermédiaire_Prod-Résultats'!AT32,Blé_printemps!G35)</f>
        <v>36.47</v>
      </c>
      <c r="AW32" s="3">
        <f>Sarrasin!E35</f>
        <v>0</v>
      </c>
      <c r="AX32" s="3">
        <f>IF(Sarrasin!G35="",'Intermédiaire_Prod-Résultats'!AW32,Sarrasin!G35)</f>
        <v>0</v>
      </c>
      <c r="AY32" s="42"/>
      <c r="AZ32" s="37">
        <f>'Maïs-grain'!E36</f>
        <v>8.44</v>
      </c>
      <c r="BA32" s="3">
        <f>IF('Maïs-grain'!G36="",'Intermédiaire_Prod-Résultats'!AZ32,'Maïs-grain'!G36)</f>
        <v>8.44</v>
      </c>
      <c r="BC32" s="3">
        <f>Canola!E35</f>
        <v>6.78</v>
      </c>
      <c r="BD32" s="3">
        <f>IF(Canola!G35="",'Intermédiaire_Prod-Résultats'!BC32,Canola!G35)</f>
        <v>6.78</v>
      </c>
      <c r="BF32" s="3">
        <f>Soya!E35</f>
        <v>7.84</v>
      </c>
      <c r="BG32" s="3">
        <f>IF(Soya!G35="",'Intermédiaire_Prod-Résultats'!BF32,Soya!G35)</f>
        <v>7.84</v>
      </c>
      <c r="BI32" s="3">
        <f>Orge!E35</f>
        <v>10.55</v>
      </c>
      <c r="BJ32" s="3">
        <f>IF(Orge!G35="",'Intermédiaire_Prod-Résultats'!BI32,Orge!G35)</f>
        <v>10.55</v>
      </c>
      <c r="BL32" s="3">
        <f>Avoine!E35</f>
        <v>3.51</v>
      </c>
      <c r="BM32" s="3">
        <f>IF(Avoine!G35="",'Intermédiaire_Prod-Résultats'!BL32,Avoine!G35)</f>
        <v>3.51</v>
      </c>
      <c r="BO32" s="3">
        <f>'Blé_d''automne'!E35</f>
        <v>36.47</v>
      </c>
      <c r="BP32" s="3">
        <f>IF('Blé_d''automne'!G35="",'Intermédiaire_Prod-Résultats'!BO32,'Blé_d''automne'!G35)</f>
        <v>36.47</v>
      </c>
      <c r="BR32" s="3">
        <f>Blé_printemps!E35</f>
        <v>36.47</v>
      </c>
      <c r="BS32" s="3">
        <f>IF(Blé_printemps!G35="",'Intermédiaire_Prod-Résultats'!BR32,Blé_printemps!G35)</f>
        <v>36.47</v>
      </c>
      <c r="BU32" s="3">
        <f>Sarrasin!E35</f>
        <v>0</v>
      </c>
      <c r="BV32" s="3">
        <f>IF(Sarrasin!G35="",'Intermédiaire_Prod-Résultats'!BU32,Sarrasin!G35)</f>
        <v>0</v>
      </c>
    </row>
    <row r="33" spans="1:74" x14ac:dyDescent="0.25">
      <c r="D33" s="3"/>
      <c r="E33" s="3"/>
      <c r="G33" s="3"/>
      <c r="H33" s="3"/>
      <c r="J33" s="3"/>
      <c r="K33" s="3"/>
      <c r="M33" s="3"/>
      <c r="N33" s="3"/>
      <c r="P33" s="3"/>
      <c r="Q33" s="3"/>
      <c r="S33" s="3"/>
      <c r="T33" s="3"/>
      <c r="V33" s="3"/>
      <c r="W33" s="3"/>
      <c r="Y33" s="3"/>
      <c r="Z33" s="3"/>
      <c r="AA33" s="42"/>
      <c r="AB33" s="37"/>
      <c r="AC33" s="3"/>
      <c r="AE33" s="3"/>
      <c r="AF33" s="3"/>
      <c r="AH33" s="3"/>
      <c r="AI33" s="3"/>
      <c r="AK33" s="3"/>
      <c r="AL33" s="3"/>
      <c r="AN33" s="3"/>
      <c r="AO33" s="3"/>
      <c r="AQ33" s="3"/>
      <c r="AR33" s="3"/>
      <c r="AT33" s="3"/>
      <c r="AU33" s="3"/>
      <c r="AW33" s="3"/>
      <c r="AX33" s="3"/>
      <c r="AY33" s="42"/>
      <c r="AZ33" s="37"/>
      <c r="BA33" s="3"/>
      <c r="BC33" s="3"/>
      <c r="BD33" s="3"/>
      <c r="BF33" s="3"/>
      <c r="BG33" s="3"/>
      <c r="BI33" s="3"/>
      <c r="BJ33" s="3"/>
      <c r="BL33" s="3"/>
      <c r="BM33" s="3"/>
      <c r="BO33" s="3"/>
      <c r="BP33" s="3"/>
      <c r="BR33" s="3"/>
      <c r="BS33" s="3"/>
      <c r="BU33" s="3"/>
      <c r="BV33" s="3"/>
    </row>
    <row r="34" spans="1:74" ht="30" customHeight="1" x14ac:dyDescent="0.25">
      <c r="A34" s="97" t="s">
        <v>64</v>
      </c>
      <c r="B34" s="97"/>
      <c r="C34" s="97"/>
      <c r="D34" s="6">
        <f>D11-D29-SUM(D31:D32)</f>
        <v>944.90950000000043</v>
      </c>
      <c r="E34" s="6">
        <f>E11-E29-SUM(E31:E32)</f>
        <v>944.90950000000043</v>
      </c>
      <c r="G34" s="6">
        <f>G11-G29-SUM(G31:G32)</f>
        <v>727.66809999999998</v>
      </c>
      <c r="H34" s="6">
        <f>H11-H29-SUM(H31:H32)</f>
        <v>727.66809999999998</v>
      </c>
      <c r="J34" s="6">
        <f>J11-J29-SUM(J31:J32)</f>
        <v>776.16369999999972</v>
      </c>
      <c r="K34" s="6">
        <f>K11-K29-SUM(K31:K32)</f>
        <v>776.16369999999972</v>
      </c>
      <c r="M34" s="6">
        <f>M11-M29-SUM(M31:M32)</f>
        <v>410.25920000000019</v>
      </c>
      <c r="N34" s="6">
        <f>N11-N29-SUM(N31:N32)</f>
        <v>410.25920000000019</v>
      </c>
      <c r="P34" s="6">
        <f>P11-P29-SUM(P31:P32)</f>
        <v>258.8957000000002</v>
      </c>
      <c r="Q34" s="6">
        <f>Q11-Q29-SUM(Q31:Q32)</f>
        <v>258.8957000000002</v>
      </c>
      <c r="S34" s="6">
        <f>S11-S29-SUM(S31:S32)</f>
        <v>871.2337</v>
      </c>
      <c r="T34" s="6">
        <f>T11-T29-SUM(T31:T32)</f>
        <v>871.2337</v>
      </c>
      <c r="V34" s="6">
        <f>V11-V29-SUM(V31:V32)</f>
        <v>539.81779999999981</v>
      </c>
      <c r="W34" s="6">
        <f>W11-W29-SUM(W31:W32)</f>
        <v>539.81779999999981</v>
      </c>
      <c r="Y34" s="6">
        <f>Y11-Y29-SUM(Y31:Y32)</f>
        <v>449.70940000000007</v>
      </c>
      <c r="Z34" s="6">
        <f>Z11-Z29-SUM(Z31:Z32)</f>
        <v>449.70940000000007</v>
      </c>
      <c r="AA34" s="42"/>
      <c r="AB34" s="6">
        <f>AB11-AB29-SUM(AB31:AB32)</f>
        <v>1069.3792410000001</v>
      </c>
      <c r="AC34" s="6">
        <f>AC11-AC29-SUM(AC31:AC32)</f>
        <v>1069.3792410000001</v>
      </c>
      <c r="AE34" s="6">
        <f>AE11-AE29-SUM(AE31:AE32)</f>
        <v>727.66809999999998</v>
      </c>
      <c r="AF34" s="6">
        <f>AF11-AF29-SUM(AF31:AF32)</f>
        <v>727.66809999999998</v>
      </c>
      <c r="AH34" s="6">
        <f>AH11-AH29-SUM(AH31:AH32)</f>
        <v>802.91369999999972</v>
      </c>
      <c r="AI34" s="6">
        <f>AI11-AI29-SUM(AI31:AI32)</f>
        <v>802.91369999999972</v>
      </c>
      <c r="AK34" s="6">
        <f>AK11-AK29-SUM(AK31:AK32)</f>
        <v>455.05697499999985</v>
      </c>
      <c r="AL34" s="6">
        <f>AL11-AL29-SUM(AL31:AL32)</f>
        <v>455.05697499999985</v>
      </c>
      <c r="AN34" s="6">
        <f>AN11-AN29-SUM(AN31:AN32)</f>
        <v>295.73734000000007</v>
      </c>
      <c r="AO34" s="6">
        <f>AO11-AO29-SUM(AO31:AO32)</f>
        <v>295.73734000000007</v>
      </c>
      <c r="AQ34" s="6">
        <f>AQ11-AQ29-SUM(AQ31:AQ32)</f>
        <v>947.34435000000008</v>
      </c>
      <c r="AR34" s="6">
        <f>AR11-AR29-SUM(AR31:AR32)</f>
        <v>947.34435000000008</v>
      </c>
      <c r="AT34" s="6">
        <f>AT11-AT29-SUM(AT31:AT32)</f>
        <v>599.66340999999989</v>
      </c>
      <c r="AU34" s="6">
        <f>AU11-AU29-SUM(AU31:AU32)</f>
        <v>599.66340999999989</v>
      </c>
      <c r="AW34" s="6">
        <f>AW11-AW29-SUM(AW31:AW32)</f>
        <v>449.70940000000007</v>
      </c>
      <c r="AX34" s="6">
        <f>AX11-AX29-SUM(AX31:AX32)</f>
        <v>449.70940000000007</v>
      </c>
      <c r="AY34" s="42"/>
      <c r="AZ34" s="6">
        <f>AZ11-AZ29-SUM(AZ31:AZ32)</f>
        <v>1193.8489820000004</v>
      </c>
      <c r="BA34" s="6">
        <f>BA11-BA29-SUM(BA31:BA32)</f>
        <v>1193.8489820000004</v>
      </c>
      <c r="BC34" s="6">
        <f>BC11-BC29-SUM(BC31:BC32)</f>
        <v>727.66809999999998</v>
      </c>
      <c r="BD34" s="6">
        <f>BD11-BD29-SUM(BD31:BD32)</f>
        <v>727.66809999999998</v>
      </c>
      <c r="BF34" s="6">
        <f>BF11-BF29-SUM(BF31:BF32)</f>
        <v>829.66369999999972</v>
      </c>
      <c r="BG34" s="6">
        <f>BG11-BG29-SUM(BG31:BG32)</f>
        <v>829.66369999999972</v>
      </c>
      <c r="BI34" s="6">
        <f>BI11-BI29-SUM(BI31:BI32)</f>
        <v>499.85475000000031</v>
      </c>
      <c r="BJ34" s="6">
        <f>BJ11-BJ29-SUM(BJ31:BJ32)</f>
        <v>499.85475000000031</v>
      </c>
      <c r="BL34" s="6">
        <f>BL11-BL29-SUM(BL31:BL32)</f>
        <v>332.57898000000029</v>
      </c>
      <c r="BM34" s="6">
        <f>BM11-BM29-SUM(BM31:BM32)</f>
        <v>332.57898000000029</v>
      </c>
      <c r="BO34" s="6">
        <f>BO11-BO29-SUM(BO31:BO32)</f>
        <v>1023.4550000000004</v>
      </c>
      <c r="BP34" s="6">
        <f>BP11-BP29-SUM(BP31:BP32)</f>
        <v>1023.4550000000004</v>
      </c>
      <c r="BR34" s="6">
        <f>BR11-BR29-SUM(BR31:BR32)</f>
        <v>659.50902000000019</v>
      </c>
      <c r="BS34" s="6">
        <f>BS11-BS29-SUM(BS31:BS32)</f>
        <v>659.50902000000019</v>
      </c>
      <c r="BU34" s="6">
        <f>BU11-BU29-SUM(BU31:BU32)</f>
        <v>449.70940000000007</v>
      </c>
      <c r="BV34" s="6">
        <f>BV11-BV29-SUM(BV31:BV32)</f>
        <v>449.70940000000007</v>
      </c>
    </row>
    <row r="35" spans="1:74" x14ac:dyDescent="0.25">
      <c r="D35" s="3"/>
      <c r="E35" s="3"/>
      <c r="G35" s="3"/>
      <c r="H35" s="3"/>
      <c r="J35" s="3"/>
      <c r="K35" s="3"/>
      <c r="M35" s="3"/>
      <c r="N35" s="3"/>
      <c r="P35" s="3"/>
      <c r="Q35" s="3"/>
      <c r="S35" s="3"/>
      <c r="T35" s="3"/>
      <c r="V35" s="3"/>
      <c r="W35" s="3"/>
      <c r="Y35" s="3"/>
      <c r="Z35" s="3"/>
      <c r="AA35" s="42"/>
      <c r="AB35" s="37"/>
      <c r="AC35" s="3"/>
      <c r="AE35" s="3"/>
      <c r="AF35" s="3"/>
      <c r="AH35" s="3"/>
      <c r="AI35" s="3"/>
      <c r="AK35" s="3"/>
      <c r="AL35" s="3"/>
      <c r="AN35" s="3"/>
      <c r="AO35" s="3"/>
      <c r="AQ35" s="3"/>
      <c r="AR35" s="3"/>
      <c r="AT35" s="3"/>
      <c r="AU35" s="3"/>
      <c r="AW35" s="3"/>
      <c r="AX35" s="3"/>
      <c r="AY35" s="42"/>
      <c r="AZ35" s="37"/>
      <c r="BA35" s="3"/>
      <c r="BC35" s="3"/>
      <c r="BD35" s="3"/>
      <c r="BF35" s="3"/>
      <c r="BG35" s="3"/>
      <c r="BI35" s="3"/>
      <c r="BJ35" s="3"/>
      <c r="BL35" s="3"/>
      <c r="BM35" s="3"/>
      <c r="BO35" s="3"/>
      <c r="BP35" s="3"/>
      <c r="BR35" s="3"/>
      <c r="BS35" s="3"/>
      <c r="BU35" s="3"/>
      <c r="BV35" s="3"/>
    </row>
    <row r="36" spans="1:74" x14ac:dyDescent="0.25">
      <c r="A36" s="7" t="s">
        <v>30</v>
      </c>
      <c r="D36" s="3"/>
      <c r="E36" s="3"/>
      <c r="G36" s="3"/>
      <c r="H36" s="3"/>
      <c r="J36" s="3"/>
      <c r="K36" s="3"/>
      <c r="M36" s="3"/>
      <c r="N36" s="3"/>
      <c r="P36" s="3"/>
      <c r="Q36" s="3"/>
      <c r="S36" s="3"/>
      <c r="T36" s="3"/>
      <c r="V36" s="3"/>
      <c r="W36" s="3"/>
      <c r="Y36" s="3"/>
      <c r="Z36" s="3"/>
      <c r="AA36" s="42"/>
      <c r="AB36" s="37"/>
      <c r="AC36" s="3"/>
      <c r="AE36" s="3"/>
      <c r="AF36" s="3"/>
      <c r="AH36" s="3"/>
      <c r="AI36" s="3"/>
      <c r="AK36" s="3"/>
      <c r="AL36" s="3"/>
      <c r="AN36" s="3"/>
      <c r="AO36" s="3"/>
      <c r="AQ36" s="3"/>
      <c r="AR36" s="3"/>
      <c r="AT36" s="3"/>
      <c r="AU36" s="3"/>
      <c r="AW36" s="3"/>
      <c r="AX36" s="3"/>
      <c r="AY36" s="42"/>
      <c r="AZ36" s="37"/>
      <c r="BA36" s="3"/>
      <c r="BC36" s="3"/>
      <c r="BD36" s="3"/>
      <c r="BF36" s="3"/>
      <c r="BG36" s="3"/>
      <c r="BI36" s="3"/>
      <c r="BJ36" s="3"/>
      <c r="BL36" s="3"/>
      <c r="BM36" s="3"/>
      <c r="BO36" s="3"/>
      <c r="BP36" s="3"/>
      <c r="BR36" s="3"/>
      <c r="BS36" s="3"/>
      <c r="BU36" s="3"/>
      <c r="BV36" s="3"/>
    </row>
    <row r="37" spans="1:74" x14ac:dyDescent="0.25">
      <c r="A37" t="s">
        <v>31</v>
      </c>
      <c r="D37" s="3">
        <f>'Maïs-grain'!E41</f>
        <v>29.65</v>
      </c>
      <c r="E37" s="3">
        <f>IF('Maïs-grain'!G41="",'Intermédiaire_Prod-Résultats'!D37,'Maïs-grain'!G41)</f>
        <v>29.65</v>
      </c>
      <c r="G37" s="3">
        <f>Canola!E40</f>
        <v>8.7100000000000009</v>
      </c>
      <c r="H37" s="3">
        <f>IF(Canola!G40="",'Intermédiaire_Prod-Résultats'!G37,Canola!G40)</f>
        <v>8.7100000000000009</v>
      </c>
      <c r="J37" s="3">
        <f>Soya!E40</f>
        <v>17.21</v>
      </c>
      <c r="K37" s="3">
        <f>IF(Soya!G40="",'Intermédiaire_Prod-Résultats'!J37,Soya!G40)</f>
        <v>17.21</v>
      </c>
      <c r="M37" s="3">
        <f>Orge!E40</f>
        <v>12.39</v>
      </c>
      <c r="N37" s="3">
        <f>IF(Orge!G40="",'Intermédiaire_Prod-Résultats'!M37,Orge!G40)</f>
        <v>12.39</v>
      </c>
      <c r="P37" s="3">
        <f>Avoine!E40</f>
        <v>9.3800000000000008</v>
      </c>
      <c r="Q37" s="3">
        <f>IF(Avoine!G40="",'Intermédiaire_Prod-Résultats'!P37,Avoine!G40)</f>
        <v>9.3800000000000008</v>
      </c>
      <c r="S37" s="3">
        <f>'Blé_d''automne'!E40</f>
        <v>13.01</v>
      </c>
      <c r="T37" s="3">
        <f>IF('Blé_d''automne'!G40="",'Intermédiaire_Prod-Résultats'!S37,'Blé_d''automne'!G40)</f>
        <v>13.01</v>
      </c>
      <c r="V37" s="3">
        <f>Blé_printemps!E40</f>
        <v>13.01</v>
      </c>
      <c r="W37" s="3">
        <f>IF(Blé_printemps!G40="",'Intermédiaire_Prod-Résultats'!V37,Blé_printemps!G40)</f>
        <v>13.01</v>
      </c>
      <c r="Y37" s="3">
        <f>Sarrasin!E40</f>
        <v>10.55</v>
      </c>
      <c r="Z37" s="3">
        <f>IF(Sarrasin!G40="",'Intermédiaire_Prod-Résultats'!Y37,Sarrasin!G40)</f>
        <v>10.55</v>
      </c>
      <c r="AA37" s="42"/>
      <c r="AB37" s="37">
        <f>'Maïs-grain'!E41</f>
        <v>29.65</v>
      </c>
      <c r="AC37" s="3">
        <f>IF('Maïs-grain'!G41="",'Intermédiaire_Prod-Résultats'!AB37,'Maïs-grain'!G41)</f>
        <v>29.65</v>
      </c>
      <c r="AE37" s="3">
        <f>Canola!E40</f>
        <v>8.7100000000000009</v>
      </c>
      <c r="AF37" s="3">
        <f>IF(Canola!G40="",'Intermédiaire_Prod-Résultats'!AE37,Canola!G40)</f>
        <v>8.7100000000000009</v>
      </c>
      <c r="AH37" s="3">
        <f>Soya!E40</f>
        <v>17.21</v>
      </c>
      <c r="AI37" s="3">
        <f>IF(Soya!G40="",'Intermédiaire_Prod-Résultats'!AH37,Soya!G40)</f>
        <v>17.21</v>
      </c>
      <c r="AK37" s="3">
        <f>Orge!E40</f>
        <v>12.39</v>
      </c>
      <c r="AL37" s="3">
        <f>IF(Orge!G40="",'Intermédiaire_Prod-Résultats'!AK37,Orge!G40)</f>
        <v>12.39</v>
      </c>
      <c r="AN37" s="3">
        <f>Avoine!E40</f>
        <v>9.3800000000000008</v>
      </c>
      <c r="AO37" s="3">
        <f>IF(Avoine!G40="",'Intermédiaire_Prod-Résultats'!AN37,Avoine!G40)</f>
        <v>9.3800000000000008</v>
      </c>
      <c r="AQ37" s="3">
        <f>'Blé_d''automne'!E40</f>
        <v>13.01</v>
      </c>
      <c r="AR37" s="3">
        <f>IF('Blé_d''automne'!G40="",'Intermédiaire_Prod-Résultats'!AQ37,'Blé_d''automne'!G40)</f>
        <v>13.01</v>
      </c>
      <c r="AT37" s="3">
        <f>Blé_printemps!E40</f>
        <v>13.01</v>
      </c>
      <c r="AU37" s="3">
        <f>IF(Blé_printemps!G40="",'Intermédiaire_Prod-Résultats'!AT37,Blé_printemps!G40)</f>
        <v>13.01</v>
      </c>
      <c r="AW37" s="3">
        <f>Sarrasin!E40</f>
        <v>10.55</v>
      </c>
      <c r="AX37" s="3">
        <f>IF(Sarrasin!G40="",'Intermédiaire_Prod-Résultats'!AW37,Sarrasin!G40)</f>
        <v>10.55</v>
      </c>
      <c r="AY37" s="42"/>
      <c r="AZ37" s="37">
        <f>'Maïs-grain'!E41</f>
        <v>29.65</v>
      </c>
      <c r="BA37" s="3">
        <f>IF('Maïs-grain'!G41="",'Intermédiaire_Prod-Résultats'!AZ37,'Maïs-grain'!G41)</f>
        <v>29.65</v>
      </c>
      <c r="BC37" s="3">
        <f>Canola!E40</f>
        <v>8.7100000000000009</v>
      </c>
      <c r="BD37" s="3">
        <f>IF(Canola!G40="",'Intermédiaire_Prod-Résultats'!BC37,Canola!G40)</f>
        <v>8.7100000000000009</v>
      </c>
      <c r="BF37" s="3">
        <f>Soya!E40</f>
        <v>17.21</v>
      </c>
      <c r="BG37" s="3">
        <f>IF(Soya!G40="",'Intermédiaire_Prod-Résultats'!BF37,Soya!G40)</f>
        <v>17.21</v>
      </c>
      <c r="BI37" s="3">
        <f>Orge!E40</f>
        <v>12.39</v>
      </c>
      <c r="BJ37" s="3">
        <f>IF(Orge!G40="",'Intermédiaire_Prod-Résultats'!BI37,Orge!G40)</f>
        <v>12.39</v>
      </c>
      <c r="BL37" s="3">
        <f>Avoine!E40</f>
        <v>9.3800000000000008</v>
      </c>
      <c r="BM37" s="3">
        <f>IF(Avoine!G40="",'Intermédiaire_Prod-Résultats'!BL37,Avoine!G40)</f>
        <v>9.3800000000000008</v>
      </c>
      <c r="BO37" s="3">
        <f>'Blé_d''automne'!E40</f>
        <v>13.01</v>
      </c>
      <c r="BP37" s="3">
        <f>IF('Blé_d''automne'!G40="",'Intermédiaire_Prod-Résultats'!BO37,'Blé_d''automne'!G40)</f>
        <v>13.01</v>
      </c>
      <c r="BR37" s="3">
        <f>Blé_printemps!E40</f>
        <v>13.01</v>
      </c>
      <c r="BS37" s="3">
        <f>IF(Blé_printemps!G40="",'Intermédiaire_Prod-Résultats'!BR37,Blé_printemps!G40)</f>
        <v>13.01</v>
      </c>
      <c r="BU37" s="3">
        <f>Sarrasin!E40</f>
        <v>10.55</v>
      </c>
      <c r="BV37" s="3">
        <f>IF(Sarrasin!G40="",'Intermédiaire_Prod-Résultats'!BU37,Sarrasin!G40)</f>
        <v>10.55</v>
      </c>
    </row>
    <row r="38" spans="1:74" x14ac:dyDescent="0.25">
      <c r="A38" t="s">
        <v>33</v>
      </c>
      <c r="D38" s="3">
        <f>'Maïs-grain'!E42</f>
        <v>51.08</v>
      </c>
      <c r="E38" s="3">
        <f>IF('Maïs-grain'!G42="",'Intermédiaire_Prod-Résultats'!D38,'Maïs-grain'!G42)</f>
        <v>51.08</v>
      </c>
      <c r="G38" s="3">
        <f>Canola!E41</f>
        <v>18.079999999999998</v>
      </c>
      <c r="H38" s="3">
        <f>IF(Canola!G41="",'Intermédiaire_Prod-Résultats'!G38,Canola!G41)</f>
        <v>18.079999999999998</v>
      </c>
      <c r="J38" s="3">
        <f>Soya!E41</f>
        <v>31.83</v>
      </c>
      <c r="K38" s="3">
        <f>IF(Soya!G41="",'Intermédiaire_Prod-Résultats'!J38,Soya!G41)</f>
        <v>31.83</v>
      </c>
      <c r="M38" s="3">
        <f>Orge!E41</f>
        <v>25.84</v>
      </c>
      <c r="N38" s="3">
        <f>IF(Orge!G41="",'Intermédiaire_Prod-Résultats'!M38,Orge!G41)</f>
        <v>25.84</v>
      </c>
      <c r="P38" s="3">
        <f>Avoine!E41</f>
        <v>20.02</v>
      </c>
      <c r="Q38" s="3">
        <f>IF(Avoine!G41="",'Intermédiaire_Prod-Résultats'!P38,Avoine!G41)</f>
        <v>20.02</v>
      </c>
      <c r="S38" s="3">
        <f>'Blé_d''automne'!E41</f>
        <v>26.08</v>
      </c>
      <c r="T38" s="3">
        <f>IF('Blé_d''automne'!G41="",'Intermédiaire_Prod-Résultats'!S38,'Blé_d''automne'!G41)</f>
        <v>26.08</v>
      </c>
      <c r="V38" s="3">
        <f>Blé_printemps!E41</f>
        <v>26.08</v>
      </c>
      <c r="W38" s="3">
        <f>IF(Blé_printemps!G41="",'Intermédiaire_Prod-Résultats'!V38,Blé_printemps!G41)</f>
        <v>26.08</v>
      </c>
      <c r="Y38" s="3">
        <f>Sarrasin!E41</f>
        <v>0</v>
      </c>
      <c r="Z38" s="3">
        <f>IF(Sarrasin!G41="",'Intermédiaire_Prod-Résultats'!Y38,Sarrasin!G41)</f>
        <v>0</v>
      </c>
      <c r="AA38" s="42"/>
      <c r="AB38" s="37">
        <f>'Maïs-grain'!E42</f>
        <v>51.08</v>
      </c>
      <c r="AC38" s="3">
        <f>IF('Maïs-grain'!G42="",'Intermédiaire_Prod-Résultats'!AB38,'Maïs-grain'!G42)</f>
        <v>51.08</v>
      </c>
      <c r="AE38" s="3">
        <f>Canola!E41</f>
        <v>18.079999999999998</v>
      </c>
      <c r="AF38" s="3">
        <f>IF(Canola!G41="",'Intermédiaire_Prod-Résultats'!AE38,Canola!G41)</f>
        <v>18.079999999999998</v>
      </c>
      <c r="AH38" s="3">
        <f>Soya!E41</f>
        <v>31.83</v>
      </c>
      <c r="AI38" s="3">
        <f>IF(Soya!G41="",'Intermédiaire_Prod-Résultats'!AH38,Soya!G41)</f>
        <v>31.83</v>
      </c>
      <c r="AK38" s="3">
        <f>Orge!E41</f>
        <v>25.84</v>
      </c>
      <c r="AL38" s="3">
        <f>IF(Orge!G41="",'Intermédiaire_Prod-Résultats'!AK38,Orge!G41)</f>
        <v>25.84</v>
      </c>
      <c r="AN38" s="3">
        <f>Avoine!E41</f>
        <v>20.02</v>
      </c>
      <c r="AO38" s="3">
        <f>IF(Avoine!G41="",'Intermédiaire_Prod-Résultats'!AN38,Avoine!G41)</f>
        <v>20.02</v>
      </c>
      <c r="AQ38" s="3">
        <f>'Blé_d''automne'!E41</f>
        <v>26.08</v>
      </c>
      <c r="AR38" s="3">
        <f>IF('Blé_d''automne'!G41="",'Intermédiaire_Prod-Résultats'!AQ38,'Blé_d''automne'!G41)</f>
        <v>26.08</v>
      </c>
      <c r="AT38" s="3">
        <f>Blé_printemps!E41</f>
        <v>26.08</v>
      </c>
      <c r="AU38" s="3">
        <f>IF(Blé_printemps!G41="",'Intermédiaire_Prod-Résultats'!AT38,Blé_printemps!G41)</f>
        <v>26.08</v>
      </c>
      <c r="AW38" s="3">
        <f>Sarrasin!E41</f>
        <v>0</v>
      </c>
      <c r="AX38" s="3">
        <f>IF(Sarrasin!G41="",'Intermédiaire_Prod-Résultats'!AW38,Sarrasin!G41)</f>
        <v>0</v>
      </c>
      <c r="AY38" s="42"/>
      <c r="AZ38" s="37">
        <f>'Maïs-grain'!E42</f>
        <v>51.08</v>
      </c>
      <c r="BA38" s="3">
        <f>IF('Maïs-grain'!G42="",'Intermédiaire_Prod-Résultats'!AZ38,'Maïs-grain'!G42)</f>
        <v>51.08</v>
      </c>
      <c r="BC38" s="3">
        <f>Canola!E41</f>
        <v>18.079999999999998</v>
      </c>
      <c r="BD38" s="3">
        <f>IF(Canola!G41="",'Intermédiaire_Prod-Résultats'!BC38,Canola!G41)</f>
        <v>18.079999999999998</v>
      </c>
      <c r="BF38" s="3">
        <f>Soya!E41</f>
        <v>31.83</v>
      </c>
      <c r="BG38" s="3">
        <f>IF(Soya!G41="",'Intermédiaire_Prod-Résultats'!BF38,Soya!G41)</f>
        <v>31.83</v>
      </c>
      <c r="BI38" s="3">
        <f>Orge!E41</f>
        <v>25.84</v>
      </c>
      <c r="BJ38" s="3">
        <f>IF(Orge!G41="",'Intermédiaire_Prod-Résultats'!BI38,Orge!G41)</f>
        <v>25.84</v>
      </c>
      <c r="BL38" s="3">
        <f>Avoine!E41</f>
        <v>20.02</v>
      </c>
      <c r="BM38" s="3">
        <f>IF(Avoine!G41="",'Intermédiaire_Prod-Résultats'!BL38,Avoine!G41)</f>
        <v>20.02</v>
      </c>
      <c r="BO38" s="3">
        <f>'Blé_d''automne'!E41</f>
        <v>26.08</v>
      </c>
      <c r="BP38" s="3">
        <f>IF('Blé_d''automne'!G41="",'Intermédiaire_Prod-Résultats'!BO38,'Blé_d''automne'!G41)</f>
        <v>26.08</v>
      </c>
      <c r="BR38" s="3">
        <f>Blé_printemps!E41</f>
        <v>26.08</v>
      </c>
      <c r="BS38" s="3">
        <f>IF(Blé_printemps!G41="",'Intermédiaire_Prod-Résultats'!BR38,Blé_printemps!G41)</f>
        <v>26.08</v>
      </c>
      <c r="BU38" s="3">
        <f>Sarrasin!E41</f>
        <v>0</v>
      </c>
      <c r="BV38" s="3">
        <f>IF(Sarrasin!G41="",'Intermédiaire_Prod-Résultats'!BU38,Sarrasin!G41)</f>
        <v>0</v>
      </c>
    </row>
    <row r="39" spans="1:74" x14ac:dyDescent="0.25">
      <c r="A39" t="s">
        <v>34</v>
      </c>
      <c r="D39" s="3">
        <f>'Maïs-grain'!E43</f>
        <v>33.29</v>
      </c>
      <c r="E39" s="3">
        <f>IF('Maïs-grain'!G43="",'Intermédiaire_Prod-Résultats'!D39,'Maïs-grain'!G43)</f>
        <v>33.29</v>
      </c>
      <c r="G39" s="3">
        <f>Canola!E42</f>
        <v>10.47</v>
      </c>
      <c r="H39" s="3">
        <f>IF(Canola!G42="",'Intermédiaire_Prod-Résultats'!G39,Canola!G42)</f>
        <v>10.47</v>
      </c>
      <c r="J39" s="3">
        <f>Soya!E42</f>
        <v>27.29</v>
      </c>
      <c r="K39" s="3">
        <f>IF(Soya!G42="",'Intermédiaire_Prod-Résultats'!J39,Soya!G42)</f>
        <v>27.29</v>
      </c>
      <c r="M39" s="3">
        <f>Orge!E42</f>
        <v>13.22</v>
      </c>
      <c r="N39" s="3">
        <f>IF(Orge!G42="",'Intermédiaire_Prod-Résultats'!M39,Orge!G42)</f>
        <v>13.22</v>
      </c>
      <c r="P39" s="3">
        <f>Avoine!E42</f>
        <v>10.89</v>
      </c>
      <c r="Q39" s="3">
        <f>IF(Avoine!G42="",'Intermédiaire_Prod-Résultats'!P39,Avoine!G42)</f>
        <v>10.89</v>
      </c>
      <c r="S39" s="3">
        <f>'Blé_d''automne'!E42</f>
        <v>11.88</v>
      </c>
      <c r="T39" s="3">
        <f>IF('Blé_d''automne'!G42="",'Intermédiaire_Prod-Résultats'!S39,'Blé_d''automne'!G42)</f>
        <v>11.88</v>
      </c>
      <c r="V39" s="3">
        <f>Blé_printemps!E42</f>
        <v>11.88</v>
      </c>
      <c r="W39" s="3">
        <f>IF(Blé_printemps!G42="",'Intermédiaire_Prod-Résultats'!V39,Blé_printemps!G42)</f>
        <v>11.88</v>
      </c>
      <c r="Y39" s="3">
        <f>Sarrasin!E42</f>
        <v>0</v>
      </c>
      <c r="Z39" s="3">
        <f>IF(Sarrasin!G42="",'Intermédiaire_Prod-Résultats'!Y39,Sarrasin!G42)</f>
        <v>0</v>
      </c>
      <c r="AA39" s="42"/>
      <c r="AB39" s="37">
        <f>'Maïs-grain'!E43</f>
        <v>33.29</v>
      </c>
      <c r="AC39" s="3">
        <f>IF('Maïs-grain'!G43="",'Intermédiaire_Prod-Résultats'!AB39,'Maïs-grain'!G43)</f>
        <v>33.29</v>
      </c>
      <c r="AE39" s="3">
        <f>Canola!E42</f>
        <v>10.47</v>
      </c>
      <c r="AF39" s="3">
        <f>IF(Canola!G42="",'Intermédiaire_Prod-Résultats'!AE39,Canola!G42)</f>
        <v>10.47</v>
      </c>
      <c r="AH39" s="3">
        <f>Soya!E42</f>
        <v>27.29</v>
      </c>
      <c r="AI39" s="3">
        <f>IF(Soya!G42="",'Intermédiaire_Prod-Résultats'!AH39,Soya!G42)</f>
        <v>27.29</v>
      </c>
      <c r="AK39" s="3">
        <f>Orge!E42</f>
        <v>13.22</v>
      </c>
      <c r="AL39" s="3">
        <f>IF(Orge!G42="",'Intermédiaire_Prod-Résultats'!AK39,Orge!G42)</f>
        <v>13.22</v>
      </c>
      <c r="AN39" s="3">
        <f>Avoine!E42</f>
        <v>10.89</v>
      </c>
      <c r="AO39" s="3">
        <f>IF(Avoine!G42="",'Intermédiaire_Prod-Résultats'!AN39,Avoine!G42)</f>
        <v>10.89</v>
      </c>
      <c r="AQ39" s="3">
        <f>'Blé_d''automne'!E42</f>
        <v>11.88</v>
      </c>
      <c r="AR39" s="3">
        <f>IF('Blé_d''automne'!G42="",'Intermédiaire_Prod-Résultats'!AQ39,'Blé_d''automne'!G42)</f>
        <v>11.88</v>
      </c>
      <c r="AT39" s="3">
        <f>Blé_printemps!E42</f>
        <v>11.88</v>
      </c>
      <c r="AU39" s="3">
        <f>IF(Blé_printemps!G42="",'Intermédiaire_Prod-Résultats'!AT39,Blé_printemps!G42)</f>
        <v>11.88</v>
      </c>
      <c r="AW39" s="3">
        <f>Sarrasin!E42</f>
        <v>0</v>
      </c>
      <c r="AX39" s="3">
        <f>IF(Sarrasin!G42="",'Intermédiaire_Prod-Résultats'!AW39,Sarrasin!G42)</f>
        <v>0</v>
      </c>
      <c r="AY39" s="42"/>
      <c r="AZ39" s="37">
        <f>'Maïs-grain'!E43</f>
        <v>33.29</v>
      </c>
      <c r="BA39" s="3">
        <f>IF('Maïs-grain'!G43="",'Intermédiaire_Prod-Résultats'!AZ39,'Maïs-grain'!G43)</f>
        <v>33.29</v>
      </c>
      <c r="BC39" s="3">
        <f>Canola!E42</f>
        <v>10.47</v>
      </c>
      <c r="BD39" s="3">
        <f>IF(Canola!G42="",'Intermédiaire_Prod-Résultats'!BC39,Canola!G42)</f>
        <v>10.47</v>
      </c>
      <c r="BF39" s="3">
        <f>Soya!E42</f>
        <v>27.29</v>
      </c>
      <c r="BG39" s="3">
        <f>IF(Soya!G42="",'Intermédiaire_Prod-Résultats'!BF39,Soya!G42)</f>
        <v>27.29</v>
      </c>
      <c r="BI39" s="3">
        <f>Orge!E42</f>
        <v>13.22</v>
      </c>
      <c r="BJ39" s="3">
        <f>IF(Orge!G42="",'Intermédiaire_Prod-Résultats'!BI39,Orge!G42)</f>
        <v>13.22</v>
      </c>
      <c r="BL39" s="3">
        <f>Avoine!E42</f>
        <v>10.89</v>
      </c>
      <c r="BM39" s="3">
        <f>IF(Avoine!G42="",'Intermédiaire_Prod-Résultats'!BL39,Avoine!G42)</f>
        <v>10.89</v>
      </c>
      <c r="BO39" s="3">
        <f>'Blé_d''automne'!E42</f>
        <v>11.88</v>
      </c>
      <c r="BP39" s="3">
        <f>IF('Blé_d''automne'!G42="",'Intermédiaire_Prod-Résultats'!BO39,'Blé_d''automne'!G42)</f>
        <v>11.88</v>
      </c>
      <c r="BR39" s="3">
        <f>Blé_printemps!E42</f>
        <v>11.88</v>
      </c>
      <c r="BS39" s="3">
        <f>IF(Blé_printemps!G42="",'Intermédiaire_Prod-Résultats'!BR39,Blé_printemps!G42)</f>
        <v>11.88</v>
      </c>
      <c r="BU39" s="3">
        <f>Sarrasin!E42</f>
        <v>0</v>
      </c>
      <c r="BV39" s="3">
        <f>IF(Sarrasin!G42="",'Intermédiaire_Prod-Résultats'!BU39,Sarrasin!G42)</f>
        <v>0</v>
      </c>
    </row>
    <row r="40" spans="1:74" x14ac:dyDescent="0.25">
      <c r="A40" t="s">
        <v>35</v>
      </c>
      <c r="D40" s="3">
        <f>'Maïs-grain'!E44</f>
        <v>86.13</v>
      </c>
      <c r="E40" s="3">
        <f>IF('Maïs-grain'!G44="",'Intermédiaire_Prod-Résultats'!D40,'Maïs-grain'!G44)</f>
        <v>86.13</v>
      </c>
      <c r="G40" s="3">
        <f>Canola!E43</f>
        <v>50.3</v>
      </c>
      <c r="H40" s="3">
        <f>IF(Canola!G43="",'Intermédiaire_Prod-Résultats'!G40,Canola!G43)</f>
        <v>50.3</v>
      </c>
      <c r="J40" s="3">
        <f>Soya!E43</f>
        <v>75.48</v>
      </c>
      <c r="K40" s="3">
        <f>IF(Soya!G43="",'Intermédiaire_Prod-Résultats'!J40,Soya!G43)</f>
        <v>75.48</v>
      </c>
      <c r="M40" s="3">
        <f>Orge!E43</f>
        <v>51.4</v>
      </c>
      <c r="N40" s="3">
        <f>IF(Orge!G43="",'Intermédiaire_Prod-Résultats'!M40,Orge!G43)</f>
        <v>51.4</v>
      </c>
      <c r="P40" s="3">
        <f>Avoine!E43</f>
        <v>47.94</v>
      </c>
      <c r="Q40" s="3">
        <f>IF(Avoine!G43="",'Intermédiaire_Prod-Résultats'!P40,Avoine!G43)</f>
        <v>47.94</v>
      </c>
      <c r="S40" s="3">
        <f>'Blé_d''automne'!E43</f>
        <v>53.09</v>
      </c>
      <c r="T40" s="3">
        <f>IF('Blé_d''automne'!G43="",'Intermédiaire_Prod-Résultats'!S40,'Blé_d''automne'!G43)</f>
        <v>53.09</v>
      </c>
      <c r="V40" s="3">
        <f>Blé_printemps!E43</f>
        <v>53.09</v>
      </c>
      <c r="W40" s="3">
        <f>IF(Blé_printemps!G43="",'Intermédiaire_Prod-Résultats'!V40,Blé_printemps!G43)</f>
        <v>53.09</v>
      </c>
      <c r="Y40" s="3">
        <f>Sarrasin!E43</f>
        <v>0</v>
      </c>
      <c r="Z40" s="3">
        <f>IF(Sarrasin!G43="",'Intermédiaire_Prod-Résultats'!Y40,Sarrasin!G43)</f>
        <v>0</v>
      </c>
      <c r="AA40" s="42"/>
      <c r="AB40" s="37">
        <f>'Maïs-grain'!E44</f>
        <v>86.13</v>
      </c>
      <c r="AC40" s="3">
        <f>IF('Maïs-grain'!G44="",'Intermédiaire_Prod-Résultats'!AB40,'Maïs-grain'!G44)</f>
        <v>86.13</v>
      </c>
      <c r="AE40" s="3">
        <f>Canola!E43</f>
        <v>50.3</v>
      </c>
      <c r="AF40" s="3">
        <f>IF(Canola!G43="",'Intermédiaire_Prod-Résultats'!AE40,Canola!G43)</f>
        <v>50.3</v>
      </c>
      <c r="AH40" s="3">
        <f>Soya!E43</f>
        <v>75.48</v>
      </c>
      <c r="AI40" s="3">
        <f>IF(Soya!G43="",'Intermédiaire_Prod-Résultats'!AH40,Soya!G43)</f>
        <v>75.48</v>
      </c>
      <c r="AK40" s="3">
        <f>Orge!E43</f>
        <v>51.4</v>
      </c>
      <c r="AL40" s="3">
        <f>IF(Orge!G43="",'Intermédiaire_Prod-Résultats'!AK40,Orge!G43)</f>
        <v>51.4</v>
      </c>
      <c r="AN40" s="3">
        <f>Avoine!E43</f>
        <v>47.94</v>
      </c>
      <c r="AO40" s="3">
        <f>IF(Avoine!G43="",'Intermédiaire_Prod-Résultats'!AN40,Avoine!G43)</f>
        <v>47.94</v>
      </c>
      <c r="AQ40" s="3">
        <f>'Blé_d''automne'!E43</f>
        <v>53.09</v>
      </c>
      <c r="AR40" s="3">
        <f>IF('Blé_d''automne'!G43="",'Intermédiaire_Prod-Résultats'!AQ40,'Blé_d''automne'!G43)</f>
        <v>53.09</v>
      </c>
      <c r="AT40" s="3">
        <f>Blé_printemps!E43</f>
        <v>53.09</v>
      </c>
      <c r="AU40" s="3">
        <f>IF(Blé_printemps!G43="",'Intermédiaire_Prod-Résultats'!AT40,Blé_printemps!G43)</f>
        <v>53.09</v>
      </c>
      <c r="AW40" s="3">
        <f>Sarrasin!E43</f>
        <v>0</v>
      </c>
      <c r="AX40" s="3">
        <f>IF(Sarrasin!G43="",'Intermédiaire_Prod-Résultats'!AW40,Sarrasin!G43)</f>
        <v>0</v>
      </c>
      <c r="AY40" s="42"/>
      <c r="AZ40" s="37">
        <f>'Maïs-grain'!E44</f>
        <v>86.13</v>
      </c>
      <c r="BA40" s="3">
        <f>IF('Maïs-grain'!G44="",'Intermédiaire_Prod-Résultats'!AZ40,'Maïs-grain'!G44)</f>
        <v>86.13</v>
      </c>
      <c r="BC40" s="3">
        <f>Canola!E43</f>
        <v>50.3</v>
      </c>
      <c r="BD40" s="3">
        <f>IF(Canola!G43="",'Intermédiaire_Prod-Résultats'!BC40,Canola!G43)</f>
        <v>50.3</v>
      </c>
      <c r="BF40" s="3">
        <f>Soya!E43</f>
        <v>75.48</v>
      </c>
      <c r="BG40" s="3">
        <f>IF(Soya!G43="",'Intermédiaire_Prod-Résultats'!BF40,Soya!G43)</f>
        <v>75.48</v>
      </c>
      <c r="BI40" s="3">
        <f>Orge!E43</f>
        <v>51.4</v>
      </c>
      <c r="BJ40" s="3">
        <f>IF(Orge!G43="",'Intermédiaire_Prod-Résultats'!BI40,Orge!G43)</f>
        <v>51.4</v>
      </c>
      <c r="BL40" s="3">
        <f>Avoine!E43</f>
        <v>47.94</v>
      </c>
      <c r="BM40" s="3">
        <f>IF(Avoine!G43="",'Intermédiaire_Prod-Résultats'!BL40,Avoine!G43)</f>
        <v>47.94</v>
      </c>
      <c r="BO40" s="3">
        <f>'Blé_d''automne'!E43</f>
        <v>53.09</v>
      </c>
      <c r="BP40" s="3">
        <f>IF('Blé_d''automne'!G43="",'Intermédiaire_Prod-Résultats'!BO40,'Blé_d''automne'!G43)</f>
        <v>53.09</v>
      </c>
      <c r="BR40" s="3">
        <f>Blé_printemps!E43</f>
        <v>53.09</v>
      </c>
      <c r="BS40" s="3">
        <f>IF(Blé_printemps!G43="",'Intermédiaire_Prod-Résultats'!BR40,Blé_printemps!G43)</f>
        <v>53.09</v>
      </c>
      <c r="BU40" s="3">
        <f>Sarrasin!E43</f>
        <v>0</v>
      </c>
      <c r="BV40" s="3">
        <f>IF(Sarrasin!G43="",'Intermédiaire_Prod-Résultats'!BU40,Sarrasin!G43)</f>
        <v>0</v>
      </c>
    </row>
    <row r="41" spans="1:74" x14ac:dyDescent="0.25">
      <c r="A41" t="s">
        <v>36</v>
      </c>
      <c r="D41" s="3">
        <f>'Maïs-grain'!E45</f>
        <v>47.46</v>
      </c>
      <c r="E41" s="3">
        <f>IF('Maïs-grain'!G45="",'Intermédiaire_Prod-Résultats'!D41,'Maïs-grain'!G45)</f>
        <v>47.46</v>
      </c>
      <c r="G41" s="3">
        <f>Canola!E44</f>
        <v>30.74</v>
      </c>
      <c r="H41" s="3">
        <f>IF(Canola!G44="",'Intermédiaire_Prod-Résultats'!G41,Canola!G44)</f>
        <v>30.74</v>
      </c>
      <c r="J41" s="3">
        <f>Soya!E44+Saisies!B67</f>
        <v>30.53</v>
      </c>
      <c r="K41" s="3">
        <f>IF(Soya!G44="",'Intermédiaire_Prod-Résultats'!J41,Soya!G44)+Saisies!C67</f>
        <v>30.53</v>
      </c>
      <c r="M41" s="3">
        <f>Orge!E44</f>
        <v>30.8</v>
      </c>
      <c r="N41" s="3">
        <f>IF(Orge!G44="",'Intermédiaire_Prod-Résultats'!M41,Orge!G44)</f>
        <v>30.8</v>
      </c>
      <c r="P41" s="3">
        <f>Avoine!E44</f>
        <v>23.52</v>
      </c>
      <c r="Q41" s="3">
        <f>IF(Avoine!G44="",'Intermédiaire_Prod-Résultats'!P41,Avoine!G44)</f>
        <v>23.52</v>
      </c>
      <c r="S41" s="3">
        <f>'Blé_d''automne'!E44</f>
        <v>36.15</v>
      </c>
      <c r="T41" s="3">
        <f>IF('Blé_d''automne'!G44="",'Intermédiaire_Prod-Résultats'!S41,'Blé_d''automne'!G44)</f>
        <v>36.15</v>
      </c>
      <c r="V41" s="3">
        <f>Blé_printemps!E44</f>
        <v>36.15</v>
      </c>
      <c r="W41" s="3">
        <f>IF(Blé_printemps!G44="",'Intermédiaire_Prod-Résultats'!V41,Blé_printemps!G44)</f>
        <v>36.15</v>
      </c>
      <c r="Y41" s="3">
        <f>Sarrasin!E44</f>
        <v>65.8</v>
      </c>
      <c r="Z41" s="3">
        <f>IF(Sarrasin!G44="",'Intermédiaire_Prod-Résultats'!Y41,Sarrasin!G44)</f>
        <v>65.8</v>
      </c>
      <c r="AA41" s="42"/>
      <c r="AB41" s="37">
        <f>'Maïs-grain'!E45</f>
        <v>47.46</v>
      </c>
      <c r="AC41" s="3">
        <f>IF('Maïs-grain'!G45="",'Intermédiaire_Prod-Résultats'!AB41,'Maïs-grain'!G45)</f>
        <v>47.46</v>
      </c>
      <c r="AE41" s="3">
        <f>Canola!E44</f>
        <v>30.74</v>
      </c>
      <c r="AF41" s="3">
        <f>IF(Canola!G44="",'Intermédiaire_Prod-Résultats'!AE41,Canola!G44)</f>
        <v>30.74</v>
      </c>
      <c r="AH41" s="3">
        <f>Soya!E44+Saisies!B67</f>
        <v>30.53</v>
      </c>
      <c r="AI41" s="3">
        <f>IF(Soya!G44="",'Intermédiaire_Prod-Résultats'!AH41,Soya!G44)+Saisies!C67</f>
        <v>30.53</v>
      </c>
      <c r="AK41" s="3">
        <f>Orge!E44</f>
        <v>30.8</v>
      </c>
      <c r="AL41" s="3">
        <f>IF(Orge!G44="",'Intermédiaire_Prod-Résultats'!AK41,Orge!G44)</f>
        <v>30.8</v>
      </c>
      <c r="AN41" s="3">
        <f>Avoine!E44</f>
        <v>23.52</v>
      </c>
      <c r="AO41" s="3">
        <f>IF(Avoine!G44="",'Intermédiaire_Prod-Résultats'!AN41,Avoine!G44)</f>
        <v>23.52</v>
      </c>
      <c r="AQ41" s="3">
        <f>'Blé_d''automne'!E44</f>
        <v>36.15</v>
      </c>
      <c r="AR41" s="3">
        <f>IF('Blé_d''automne'!G44="",'Intermédiaire_Prod-Résultats'!AQ41,'Blé_d''automne'!G44)</f>
        <v>36.15</v>
      </c>
      <c r="AT41" s="3">
        <f>Blé_printemps!E44</f>
        <v>36.15</v>
      </c>
      <c r="AU41" s="3">
        <f>IF(Blé_printemps!G44="",'Intermédiaire_Prod-Résultats'!AT41,Blé_printemps!G44)</f>
        <v>36.15</v>
      </c>
      <c r="AW41" s="3">
        <f>Sarrasin!E44</f>
        <v>65.8</v>
      </c>
      <c r="AX41" s="3">
        <f>IF(Sarrasin!G44="",'Intermédiaire_Prod-Résultats'!AW41,Sarrasin!G44)</f>
        <v>65.8</v>
      </c>
      <c r="AY41" s="42"/>
      <c r="AZ41" s="37">
        <f>'Maïs-grain'!E45</f>
        <v>47.46</v>
      </c>
      <c r="BA41" s="3">
        <f>IF('Maïs-grain'!G45="",'Intermédiaire_Prod-Résultats'!AZ41,'Maïs-grain'!G45)</f>
        <v>47.46</v>
      </c>
      <c r="BC41" s="3">
        <f>Canola!E44</f>
        <v>30.74</v>
      </c>
      <c r="BD41" s="3">
        <f>IF(Canola!G44="",'Intermédiaire_Prod-Résultats'!BC41,Canola!G44)</f>
        <v>30.74</v>
      </c>
      <c r="BF41" s="3">
        <f>Soya!E44+Saisies!B67</f>
        <v>30.53</v>
      </c>
      <c r="BG41" s="3">
        <f>IF(Soya!G44="",'Intermédiaire_Prod-Résultats'!BF41,Soya!G44)+Saisies!C67</f>
        <v>30.53</v>
      </c>
      <c r="BI41" s="3">
        <f>Orge!E44</f>
        <v>30.8</v>
      </c>
      <c r="BJ41" s="3">
        <f>IF(Orge!G44="",'Intermédiaire_Prod-Résultats'!BI41,Orge!G44)</f>
        <v>30.8</v>
      </c>
      <c r="BL41" s="3">
        <f>Avoine!E44</f>
        <v>23.52</v>
      </c>
      <c r="BM41" s="3">
        <f>IF(Avoine!G44="",'Intermédiaire_Prod-Résultats'!BL41,Avoine!G44)</f>
        <v>23.52</v>
      </c>
      <c r="BO41" s="3">
        <f>'Blé_d''automne'!E44</f>
        <v>36.15</v>
      </c>
      <c r="BP41" s="3">
        <f>IF('Blé_d''automne'!G44="",'Intermédiaire_Prod-Résultats'!BO41,'Blé_d''automne'!G44)</f>
        <v>36.15</v>
      </c>
      <c r="BR41" s="3">
        <f>Blé_printemps!E44</f>
        <v>36.15</v>
      </c>
      <c r="BS41" s="3">
        <f>IF(Blé_printemps!G44="",'Intermédiaire_Prod-Résultats'!BR41,Blé_printemps!G44)</f>
        <v>36.15</v>
      </c>
      <c r="BU41" s="3">
        <f>Sarrasin!E44</f>
        <v>65.8</v>
      </c>
      <c r="BV41" s="3">
        <f>IF(Sarrasin!G44="",'Intermédiaire_Prod-Résultats'!BU41,Sarrasin!G44)</f>
        <v>65.8</v>
      </c>
    </row>
    <row r="42" spans="1:74" x14ac:dyDescent="0.25">
      <c r="B42" s="1" t="s">
        <v>27</v>
      </c>
      <c r="D42" s="6">
        <f>SUM(D37:D41)</f>
        <v>247.60999999999999</v>
      </c>
      <c r="E42" s="6">
        <f>SUM(E37:E41)</f>
        <v>247.60999999999999</v>
      </c>
      <c r="G42" s="6">
        <f>SUM(G37:G41)</f>
        <v>118.3</v>
      </c>
      <c r="H42" s="6">
        <f>SUM(H37:H41)</f>
        <v>118.3</v>
      </c>
      <c r="J42" s="6">
        <f>SUM(J37:J41)</f>
        <v>182.34</v>
      </c>
      <c r="K42" s="6">
        <f>SUM(K37:K41)</f>
        <v>182.34</v>
      </c>
      <c r="M42" s="6">
        <f>SUM(M37:M41)</f>
        <v>133.65</v>
      </c>
      <c r="N42" s="6">
        <f>SUM(N37:N41)</f>
        <v>133.65</v>
      </c>
      <c r="P42" s="6">
        <f>SUM(P37:P41)</f>
        <v>111.74999999999999</v>
      </c>
      <c r="Q42" s="6">
        <f>SUM(Q37:Q41)</f>
        <v>111.74999999999999</v>
      </c>
      <c r="S42" s="6">
        <f>SUM(S37:S41)</f>
        <v>140.21</v>
      </c>
      <c r="T42" s="6">
        <f>SUM(T37:T41)</f>
        <v>140.21</v>
      </c>
      <c r="V42" s="6">
        <f>SUM(V37:V41)</f>
        <v>140.21</v>
      </c>
      <c r="W42" s="6">
        <f>SUM(W37:W41)</f>
        <v>140.21</v>
      </c>
      <c r="Y42" s="6">
        <f>SUM(Y37:Y41)</f>
        <v>76.349999999999994</v>
      </c>
      <c r="Z42" s="6">
        <f>SUM(Z37:Z41)</f>
        <v>76.349999999999994</v>
      </c>
      <c r="AA42" s="42"/>
      <c r="AB42" s="6">
        <f>SUM(AB37:AB41)</f>
        <v>247.60999999999999</v>
      </c>
      <c r="AC42" s="6">
        <f>SUM(AC37:AC41)</f>
        <v>247.60999999999999</v>
      </c>
      <c r="AE42" s="6">
        <f>SUM(AE37:AE41)</f>
        <v>118.3</v>
      </c>
      <c r="AF42" s="6">
        <f>SUM(AF37:AF41)</f>
        <v>118.3</v>
      </c>
      <c r="AH42" s="6">
        <f>SUM(AH37:AH41)</f>
        <v>182.34</v>
      </c>
      <c r="AI42" s="6">
        <f>SUM(AI37:AI41)</f>
        <v>182.34</v>
      </c>
      <c r="AK42" s="6">
        <f>SUM(AK37:AK41)</f>
        <v>133.65</v>
      </c>
      <c r="AL42" s="6">
        <f>SUM(AL37:AL41)</f>
        <v>133.65</v>
      </c>
      <c r="AN42" s="6">
        <f>SUM(AN37:AN41)</f>
        <v>111.74999999999999</v>
      </c>
      <c r="AO42" s="6">
        <f>SUM(AO37:AO41)</f>
        <v>111.74999999999999</v>
      </c>
      <c r="AQ42" s="6">
        <f>SUM(AQ37:AQ41)</f>
        <v>140.21</v>
      </c>
      <c r="AR42" s="6">
        <f>SUM(AR37:AR41)</f>
        <v>140.21</v>
      </c>
      <c r="AT42" s="6">
        <f>SUM(AT37:AT41)</f>
        <v>140.21</v>
      </c>
      <c r="AU42" s="6">
        <f>SUM(AU37:AU41)</f>
        <v>140.21</v>
      </c>
      <c r="AW42" s="6">
        <f>SUM(AW37:AW41)</f>
        <v>76.349999999999994</v>
      </c>
      <c r="AX42" s="6">
        <f>SUM(AX37:AX41)</f>
        <v>76.349999999999994</v>
      </c>
      <c r="AY42" s="42"/>
      <c r="AZ42" s="6">
        <f>SUM(AZ37:AZ41)</f>
        <v>247.60999999999999</v>
      </c>
      <c r="BA42" s="6">
        <f>SUM(BA37:BA41)</f>
        <v>247.60999999999999</v>
      </c>
      <c r="BC42" s="6">
        <f>SUM(BC37:BC41)</f>
        <v>118.3</v>
      </c>
      <c r="BD42" s="6">
        <f>SUM(BD37:BD41)</f>
        <v>118.3</v>
      </c>
      <c r="BF42" s="6">
        <f>SUM(BF37:BF41)</f>
        <v>182.34</v>
      </c>
      <c r="BG42" s="6">
        <f>SUM(BG37:BG41)</f>
        <v>182.34</v>
      </c>
      <c r="BI42" s="6">
        <f>SUM(BI37:BI41)</f>
        <v>133.65</v>
      </c>
      <c r="BJ42" s="6">
        <f>SUM(BJ37:BJ41)</f>
        <v>133.65</v>
      </c>
      <c r="BL42" s="6">
        <f>SUM(BL37:BL41)</f>
        <v>111.74999999999999</v>
      </c>
      <c r="BM42" s="6">
        <f>SUM(BM37:BM41)</f>
        <v>111.74999999999999</v>
      </c>
      <c r="BO42" s="6">
        <f>SUM(BO37:BO41)</f>
        <v>140.21</v>
      </c>
      <c r="BP42" s="6">
        <f>SUM(BP37:BP41)</f>
        <v>140.21</v>
      </c>
      <c r="BR42" s="6">
        <f>SUM(BR37:BR41)</f>
        <v>140.21</v>
      </c>
      <c r="BS42" s="6">
        <f>SUM(BS37:BS41)</f>
        <v>140.21</v>
      </c>
      <c r="BU42" s="6">
        <f>SUM(BU37:BU41)</f>
        <v>76.349999999999994</v>
      </c>
      <c r="BV42" s="6">
        <f>SUM(BV37:BV41)</f>
        <v>76.349999999999994</v>
      </c>
    </row>
    <row r="43" spans="1:74" x14ac:dyDescent="0.25">
      <c r="D43" s="3"/>
      <c r="E43" s="3"/>
      <c r="G43" s="3"/>
      <c r="H43" s="3"/>
      <c r="J43" s="3"/>
      <c r="K43" s="3"/>
      <c r="M43" s="3"/>
      <c r="N43" s="3"/>
      <c r="P43" s="3"/>
      <c r="Q43" s="3"/>
      <c r="S43" s="3"/>
      <c r="T43" s="3"/>
      <c r="V43" s="3"/>
      <c r="W43" s="3"/>
      <c r="Y43" s="3"/>
      <c r="Z43" s="3"/>
      <c r="AA43" s="42"/>
      <c r="AB43" s="37"/>
      <c r="AC43" s="3"/>
      <c r="AE43" s="3"/>
      <c r="AF43" s="3"/>
      <c r="AH43" s="3"/>
      <c r="AI43" s="3"/>
      <c r="AK43" s="3"/>
      <c r="AL43" s="3"/>
      <c r="AN43" s="3"/>
      <c r="AO43" s="3"/>
      <c r="AQ43" s="3"/>
      <c r="AR43" s="3"/>
      <c r="AT43" s="3"/>
      <c r="AU43" s="3"/>
      <c r="AW43" s="3"/>
      <c r="AX43" s="3"/>
      <c r="AY43" s="42"/>
      <c r="AZ43" s="37"/>
      <c r="BA43" s="3"/>
      <c r="BC43" s="3"/>
      <c r="BD43" s="3"/>
      <c r="BF43" s="3"/>
      <c r="BG43" s="3"/>
      <c r="BI43" s="3"/>
      <c r="BJ43" s="3"/>
      <c r="BL43" s="3"/>
      <c r="BM43" s="3"/>
      <c r="BO43" s="3"/>
      <c r="BP43" s="3"/>
      <c r="BR43" s="3"/>
      <c r="BS43" s="3"/>
      <c r="BU43" s="3"/>
      <c r="BV43" s="3"/>
    </row>
    <row r="44" spans="1:74" ht="36.950000000000003" customHeight="1" x14ac:dyDescent="0.25">
      <c r="A44" s="97" t="s">
        <v>63</v>
      </c>
      <c r="B44" s="97"/>
      <c r="C44" s="97"/>
      <c r="D44" s="6">
        <f>D34-D42</f>
        <v>697.29950000000042</v>
      </c>
      <c r="E44" s="6">
        <f>E34-E42</f>
        <v>697.29950000000042</v>
      </c>
      <c r="G44" s="6">
        <f>G34-G42</f>
        <v>609.36810000000003</v>
      </c>
      <c r="H44" s="6">
        <f>H34-H42</f>
        <v>609.36810000000003</v>
      </c>
      <c r="J44" s="6">
        <f>J34-J42</f>
        <v>593.82369999999969</v>
      </c>
      <c r="K44" s="6">
        <f>K34-K42</f>
        <v>593.82369999999969</v>
      </c>
      <c r="M44" s="6">
        <f>M34-M42</f>
        <v>276.60920000000021</v>
      </c>
      <c r="N44" s="6">
        <f>N34-N42</f>
        <v>276.60920000000021</v>
      </c>
      <c r="P44" s="6">
        <f>P34-P42</f>
        <v>147.1457000000002</v>
      </c>
      <c r="Q44" s="6">
        <f>Q34-Q42</f>
        <v>147.1457000000002</v>
      </c>
      <c r="S44" s="6">
        <f>S34-S42</f>
        <v>731.02369999999996</v>
      </c>
      <c r="T44" s="6">
        <f>T34-T42</f>
        <v>731.02369999999996</v>
      </c>
      <c r="V44" s="6">
        <f>V34-V42</f>
        <v>399.60779999999977</v>
      </c>
      <c r="W44" s="6">
        <f>W34-W42</f>
        <v>399.60779999999977</v>
      </c>
      <c r="Y44" s="6">
        <f>Y34-Y42</f>
        <v>373.35940000000005</v>
      </c>
      <c r="Z44" s="6">
        <f>Z34-Z42</f>
        <v>373.35940000000005</v>
      </c>
      <c r="AA44" s="42"/>
      <c r="AB44" s="6">
        <f>AB34-AB42</f>
        <v>821.76924100000008</v>
      </c>
      <c r="AC44" s="6">
        <f>AC34-AC42</f>
        <v>821.76924100000008</v>
      </c>
      <c r="AE44" s="6">
        <f>AE34-AE42</f>
        <v>609.36810000000003</v>
      </c>
      <c r="AF44" s="6">
        <f>AF34-AF42</f>
        <v>609.36810000000003</v>
      </c>
      <c r="AH44" s="6">
        <f>AH34-AH42</f>
        <v>620.57369999999969</v>
      </c>
      <c r="AI44" s="6">
        <f>AI34-AI42</f>
        <v>620.57369999999969</v>
      </c>
      <c r="AK44" s="6">
        <f>AK34-AK42</f>
        <v>321.40697499999987</v>
      </c>
      <c r="AL44" s="6">
        <f>AL34-AL42</f>
        <v>321.40697499999987</v>
      </c>
      <c r="AN44" s="6">
        <f>AN34-AN42</f>
        <v>183.98734000000007</v>
      </c>
      <c r="AO44" s="6">
        <f>AO34-AO42</f>
        <v>183.98734000000007</v>
      </c>
      <c r="AQ44" s="6">
        <f>AQ34-AQ42</f>
        <v>807.13435000000004</v>
      </c>
      <c r="AR44" s="6">
        <f>AR34-AR42</f>
        <v>807.13435000000004</v>
      </c>
      <c r="AT44" s="6">
        <f>AT34-AT42</f>
        <v>459.45340999999985</v>
      </c>
      <c r="AU44" s="6">
        <f>AU34-AU42</f>
        <v>459.45340999999985</v>
      </c>
      <c r="AW44" s="6">
        <f>AW34-AW42</f>
        <v>373.35940000000005</v>
      </c>
      <c r="AX44" s="6">
        <f>AX34-AX42</f>
        <v>373.35940000000005</v>
      </c>
      <c r="AY44" s="42"/>
      <c r="AZ44" s="6">
        <f>AZ34-AZ42</f>
        <v>946.23898200000042</v>
      </c>
      <c r="BA44" s="6">
        <f>BA34-BA42</f>
        <v>946.23898200000042</v>
      </c>
      <c r="BC44" s="6">
        <f>BC34-BC42</f>
        <v>609.36810000000003</v>
      </c>
      <c r="BD44" s="6">
        <f>BD34-BD42</f>
        <v>609.36810000000003</v>
      </c>
      <c r="BF44" s="6">
        <f>BF34-BF42</f>
        <v>647.32369999999969</v>
      </c>
      <c r="BG44" s="6">
        <f>BG34-BG42</f>
        <v>647.32369999999969</v>
      </c>
      <c r="BI44" s="6">
        <f>BI34-BI42</f>
        <v>366.20475000000033</v>
      </c>
      <c r="BJ44" s="6">
        <f>BJ34-BJ42</f>
        <v>366.20475000000033</v>
      </c>
      <c r="BL44" s="6">
        <f>BL34-BL42</f>
        <v>220.82898000000029</v>
      </c>
      <c r="BM44" s="6">
        <f>BM34-BM42</f>
        <v>220.82898000000029</v>
      </c>
      <c r="BO44" s="6">
        <f>BO34-BO42</f>
        <v>883.24500000000035</v>
      </c>
      <c r="BP44" s="6">
        <f>BP34-BP42</f>
        <v>883.24500000000035</v>
      </c>
      <c r="BR44" s="6">
        <f>BR34-BR42</f>
        <v>519.29902000000016</v>
      </c>
      <c r="BS44" s="6">
        <f>BS34-BS42</f>
        <v>519.29902000000016</v>
      </c>
      <c r="BU44" s="6">
        <f>BU34-BU42</f>
        <v>373.35940000000005</v>
      </c>
      <c r="BV44" s="6">
        <f>BV34-BV42</f>
        <v>373.35940000000005</v>
      </c>
    </row>
    <row r="45" spans="1:74" x14ac:dyDescent="0.25">
      <c r="D45" s="3"/>
      <c r="E45" s="3"/>
      <c r="G45" s="3"/>
      <c r="H45" s="3"/>
      <c r="J45" s="3"/>
      <c r="K45" s="3"/>
      <c r="M45" s="3"/>
      <c r="N45" s="3"/>
      <c r="P45" s="3"/>
      <c r="Q45" s="3"/>
      <c r="S45" s="3"/>
      <c r="T45" s="3"/>
      <c r="V45" s="3"/>
      <c r="W45" s="3"/>
      <c r="Y45" s="3"/>
      <c r="Z45" s="3"/>
      <c r="AA45" s="42"/>
      <c r="AB45" s="37"/>
      <c r="AC45" s="3"/>
      <c r="AE45" s="3"/>
      <c r="AF45" s="3"/>
      <c r="AH45" s="3"/>
      <c r="AI45" s="3"/>
      <c r="AK45" s="3"/>
      <c r="AL45" s="3"/>
      <c r="AN45" s="3"/>
      <c r="AO45" s="3"/>
      <c r="AQ45" s="3"/>
      <c r="AR45" s="3"/>
      <c r="AT45" s="3"/>
      <c r="AU45" s="3"/>
      <c r="AW45" s="3"/>
      <c r="AX45" s="3"/>
      <c r="AY45" s="42"/>
      <c r="AZ45" s="37"/>
      <c r="BA45" s="3"/>
      <c r="BC45" s="3"/>
      <c r="BD45" s="3"/>
      <c r="BF45" s="3"/>
      <c r="BG45" s="3"/>
      <c r="BI45" s="3"/>
      <c r="BJ45" s="3"/>
      <c r="BL45" s="3"/>
      <c r="BM45" s="3"/>
      <c r="BO45" s="3"/>
      <c r="BP45" s="3"/>
      <c r="BR45" s="3"/>
      <c r="BS45" s="3"/>
      <c r="BU45" s="3"/>
      <c r="BV45" s="3"/>
    </row>
    <row r="46" spans="1:74" x14ac:dyDescent="0.25">
      <c r="A46" t="s">
        <v>40</v>
      </c>
      <c r="D46" s="3">
        <f>'Maïs-grain'!E51</f>
        <v>257.36</v>
      </c>
      <c r="E46" s="3">
        <f>IF('Maïs-grain'!G51="",'Intermédiaire_Prod-Résultats'!D46,'Maïs-grain'!G51)</f>
        <v>257.36</v>
      </c>
      <c r="G46" s="3">
        <f>Canola!E50</f>
        <v>134.34</v>
      </c>
      <c r="H46" s="3">
        <f>IF(Canola!G50="",'Intermédiaire_Prod-Résultats'!G46,Canola!G50)</f>
        <v>134.34</v>
      </c>
      <c r="J46" s="3">
        <f>Soya!E50</f>
        <v>176.77</v>
      </c>
      <c r="K46" s="3">
        <f>IF(Soya!G50="",'Intermédiaire_Prod-Résultats'!J46,Soya!G50)</f>
        <v>176.77</v>
      </c>
      <c r="M46" s="3">
        <f>Orge!E50</f>
        <v>161.34</v>
      </c>
      <c r="N46" s="3">
        <f>IF(Orge!G50="",'Intermédiaire_Prod-Résultats'!M46,Orge!G50)</f>
        <v>161.34</v>
      </c>
      <c r="P46" s="3">
        <f>Avoine!E50</f>
        <v>123.39</v>
      </c>
      <c r="Q46" s="3">
        <f>IF(Avoine!G50="",'Intermédiaire_Prod-Résultats'!P46,Avoine!G50)</f>
        <v>123.39</v>
      </c>
      <c r="S46" s="3">
        <f>'Blé_d''automne'!E50</f>
        <v>162.49</v>
      </c>
      <c r="T46" s="3">
        <f>IF('Blé_d''automne'!G50="",'Intermédiaire_Prod-Résultats'!S46,'Blé_d''automne'!G50)</f>
        <v>162.49</v>
      </c>
      <c r="V46" s="3">
        <f>Blé_printemps!E50</f>
        <v>162.49</v>
      </c>
      <c r="W46" s="3">
        <f>IF(Blé_printemps!G50="",'Intermédiaire_Prod-Résultats'!V46,Blé_printemps!G50)</f>
        <v>162.49</v>
      </c>
      <c r="Y46" s="3">
        <f>Sarrasin!E50</f>
        <v>148.03</v>
      </c>
      <c r="Z46" s="3">
        <f>IF(Sarrasin!G50="",'Intermédiaire_Prod-Résultats'!Y46,Sarrasin!G50)</f>
        <v>148.03</v>
      </c>
      <c r="AA46" s="42"/>
      <c r="AB46" s="37">
        <f>'Maïs-grain'!E51</f>
        <v>257.36</v>
      </c>
      <c r="AC46" s="3">
        <f>IF('Maïs-grain'!G51="",'Intermédiaire_Prod-Résultats'!AB46,'Maïs-grain'!G51)</f>
        <v>257.36</v>
      </c>
      <c r="AE46" s="3">
        <f>Canola!E50</f>
        <v>134.34</v>
      </c>
      <c r="AF46" s="3">
        <f>IF(Canola!G50="",'Intermédiaire_Prod-Résultats'!AE46,Canola!G50)</f>
        <v>134.34</v>
      </c>
      <c r="AH46" s="3">
        <f>Soya!E50</f>
        <v>176.77</v>
      </c>
      <c r="AI46" s="3">
        <f>IF(Soya!G50="",'Intermédiaire_Prod-Résultats'!AH46,Soya!G50)</f>
        <v>176.77</v>
      </c>
      <c r="AK46" s="3">
        <f>Orge!E50</f>
        <v>161.34</v>
      </c>
      <c r="AL46" s="3">
        <f>IF(Orge!G50="",'Intermédiaire_Prod-Résultats'!AK46,Orge!G50)</f>
        <v>161.34</v>
      </c>
      <c r="AN46" s="3">
        <f>Avoine!E50</f>
        <v>123.39</v>
      </c>
      <c r="AO46" s="3">
        <f>IF(Avoine!G50="",'Intermédiaire_Prod-Résultats'!AN46,Avoine!G50)</f>
        <v>123.39</v>
      </c>
      <c r="AQ46" s="3">
        <f>'Blé_d''automne'!E50</f>
        <v>162.49</v>
      </c>
      <c r="AR46" s="3">
        <f>IF('Blé_d''automne'!G50="",'Intermédiaire_Prod-Résultats'!AQ46,'Blé_d''automne'!G50)</f>
        <v>162.49</v>
      </c>
      <c r="AT46" s="3">
        <f>Blé_printemps!E50</f>
        <v>162.49</v>
      </c>
      <c r="AU46" s="3">
        <f>IF(Blé_printemps!G50="",'Intermédiaire_Prod-Résultats'!AT46,Blé_printemps!G50)</f>
        <v>162.49</v>
      </c>
      <c r="AW46" s="3">
        <f>Sarrasin!E50</f>
        <v>148.03</v>
      </c>
      <c r="AX46" s="3">
        <f>IF(Sarrasin!G50="",'Intermédiaire_Prod-Résultats'!AW46,Sarrasin!G50)</f>
        <v>148.03</v>
      </c>
      <c r="AY46" s="42"/>
      <c r="AZ46" s="37">
        <f>'Maïs-grain'!E51</f>
        <v>257.36</v>
      </c>
      <c r="BA46" s="3">
        <f>IF('Maïs-grain'!G51="",'Intermédiaire_Prod-Résultats'!AZ46,'Maïs-grain'!G51)</f>
        <v>257.36</v>
      </c>
      <c r="BC46" s="3">
        <f>Canola!E50</f>
        <v>134.34</v>
      </c>
      <c r="BD46" s="3">
        <f>IF(Canola!G50="",'Intermédiaire_Prod-Résultats'!BC46,Canola!G50)</f>
        <v>134.34</v>
      </c>
      <c r="BF46" s="3">
        <f>Soya!E50</f>
        <v>176.77</v>
      </c>
      <c r="BG46" s="3">
        <f>IF(Soya!G50="",'Intermédiaire_Prod-Résultats'!BF46,Soya!G50)</f>
        <v>176.77</v>
      </c>
      <c r="BI46" s="3">
        <f>Orge!E50</f>
        <v>161.34</v>
      </c>
      <c r="BJ46" s="3">
        <f>IF(Orge!G50="",'Intermédiaire_Prod-Résultats'!BI46,Orge!G50)</f>
        <v>161.34</v>
      </c>
      <c r="BL46" s="3">
        <f>Avoine!E50</f>
        <v>123.39</v>
      </c>
      <c r="BM46" s="3">
        <f>IF(Avoine!G50="",'Intermédiaire_Prod-Résultats'!BL46,Avoine!G50)</f>
        <v>123.39</v>
      </c>
      <c r="BO46" s="3">
        <f>'Blé_d''automne'!E50</f>
        <v>162.49</v>
      </c>
      <c r="BP46" s="3">
        <f>IF('Blé_d''automne'!G50="",'Intermédiaire_Prod-Résultats'!BO46,'Blé_d''automne'!G50)</f>
        <v>162.49</v>
      </c>
      <c r="BR46" s="3">
        <f>Blé_printemps!E50</f>
        <v>162.49</v>
      </c>
      <c r="BS46" s="3">
        <f>IF(Blé_printemps!G50="",'Intermédiaire_Prod-Résultats'!BR46,Blé_printemps!G50)</f>
        <v>162.49</v>
      </c>
      <c r="BU46" s="3">
        <f>Sarrasin!E50</f>
        <v>148.03</v>
      </c>
      <c r="BV46" s="3">
        <f>IF(Sarrasin!G50="",'Intermédiaire_Prod-Résultats'!BU46,Sarrasin!G50)</f>
        <v>148.03</v>
      </c>
    </row>
    <row r="47" spans="1:74" x14ac:dyDescent="0.25">
      <c r="A47" t="s">
        <v>41</v>
      </c>
      <c r="D47" s="3">
        <f>'Maïs-grain'!E52</f>
        <v>171.29</v>
      </c>
      <c r="E47" s="3">
        <f>IF('Maïs-grain'!G52="",'Intermédiaire_Prod-Résultats'!D47,'Maïs-grain'!G52)</f>
        <v>171.29</v>
      </c>
      <c r="G47" s="3">
        <f>Canola!E51</f>
        <v>133.44999999999999</v>
      </c>
      <c r="H47" s="3">
        <f>IF(Canola!G51="",'Intermédiaire_Prod-Résultats'!G47,Canola!G51)</f>
        <v>133.44999999999999</v>
      </c>
      <c r="J47" s="3">
        <f>Soya!E51</f>
        <v>165.51</v>
      </c>
      <c r="K47" s="3">
        <f>IF(Soya!G51="",'Intermédiaire_Prod-Résultats'!J47,Soya!G51)</f>
        <v>165.51</v>
      </c>
      <c r="M47" s="3">
        <f>Orge!E51</f>
        <v>157.68</v>
      </c>
      <c r="N47" s="3">
        <f>IF(Orge!G51="",'Intermédiaire_Prod-Résultats'!M47,Orge!G51)</f>
        <v>157.68</v>
      </c>
      <c r="P47" s="3">
        <f>Avoine!E51</f>
        <v>103.92</v>
      </c>
      <c r="Q47" s="3">
        <f>IF(Avoine!G51="",'Intermédiaire_Prod-Résultats'!P47,Avoine!G51)</f>
        <v>103.92</v>
      </c>
      <c r="S47" s="3">
        <f>'Blé_d''automne'!E51</f>
        <v>152.99</v>
      </c>
      <c r="T47" s="3">
        <f>IF('Blé_d''automne'!G51="",'Intermédiaire_Prod-Résultats'!S47,'Blé_d''automne'!G51)</f>
        <v>152.99</v>
      </c>
      <c r="V47" s="3">
        <f>Blé_printemps!E51</f>
        <v>152.99</v>
      </c>
      <c r="W47" s="3">
        <f>IF(Blé_printemps!G51="",'Intermédiaire_Prod-Résultats'!V47,Blé_printemps!G51)</f>
        <v>152.99</v>
      </c>
      <c r="Y47" s="3">
        <f>Sarrasin!E51</f>
        <v>160.91999999999999</v>
      </c>
      <c r="Z47" s="3">
        <f>IF(Sarrasin!G51="",'Intermédiaire_Prod-Résultats'!Y47,Sarrasin!G51)</f>
        <v>160.91999999999999</v>
      </c>
      <c r="AA47" s="42"/>
      <c r="AB47" s="37">
        <f>'Maïs-grain'!E52</f>
        <v>171.29</v>
      </c>
      <c r="AC47" s="3">
        <f>IF('Maïs-grain'!G52="",'Intermédiaire_Prod-Résultats'!AB47,'Maïs-grain'!G52)</f>
        <v>171.29</v>
      </c>
      <c r="AE47" s="3">
        <f>Canola!E51</f>
        <v>133.44999999999999</v>
      </c>
      <c r="AF47" s="3">
        <f>IF(Canola!G51="",'Intermédiaire_Prod-Résultats'!AE47,Canola!G51)</f>
        <v>133.44999999999999</v>
      </c>
      <c r="AH47" s="3">
        <f>Soya!E51</f>
        <v>165.51</v>
      </c>
      <c r="AI47" s="3">
        <f>IF(Soya!G51="",'Intermédiaire_Prod-Résultats'!AH47,Soya!G51)</f>
        <v>165.51</v>
      </c>
      <c r="AK47" s="3">
        <f>Orge!E51</f>
        <v>157.68</v>
      </c>
      <c r="AL47" s="3">
        <f>IF(Orge!G51="",'Intermédiaire_Prod-Résultats'!AK47,Orge!G51)</f>
        <v>157.68</v>
      </c>
      <c r="AN47" s="3">
        <f>Avoine!E51</f>
        <v>103.92</v>
      </c>
      <c r="AO47" s="3">
        <f>IF(Avoine!G51="",'Intermédiaire_Prod-Résultats'!AN47,Avoine!G51)</f>
        <v>103.92</v>
      </c>
      <c r="AQ47" s="3">
        <f>'Blé_d''automne'!E51</f>
        <v>152.99</v>
      </c>
      <c r="AR47" s="3">
        <f>IF('Blé_d''automne'!G51="",'Intermédiaire_Prod-Résultats'!AQ47,'Blé_d''automne'!G51)</f>
        <v>152.99</v>
      </c>
      <c r="AT47" s="3">
        <f>Blé_printemps!E51</f>
        <v>152.99</v>
      </c>
      <c r="AU47" s="3">
        <f>IF(Blé_printemps!G51="",'Intermédiaire_Prod-Résultats'!AT47,Blé_printemps!G51)</f>
        <v>152.99</v>
      </c>
      <c r="AW47" s="3">
        <f>Sarrasin!E51</f>
        <v>160.91999999999999</v>
      </c>
      <c r="AX47" s="3">
        <f>IF(Sarrasin!G51="",'Intermédiaire_Prod-Résultats'!AW47,Sarrasin!G51)</f>
        <v>160.91999999999999</v>
      </c>
      <c r="AY47" s="42"/>
      <c r="AZ47" s="37">
        <f>'Maïs-grain'!E52</f>
        <v>171.29</v>
      </c>
      <c r="BA47" s="3">
        <f>IF('Maïs-grain'!G52="",'Intermédiaire_Prod-Résultats'!AZ47,'Maïs-grain'!G52)</f>
        <v>171.29</v>
      </c>
      <c r="BC47" s="3">
        <f>Canola!E51</f>
        <v>133.44999999999999</v>
      </c>
      <c r="BD47" s="3">
        <f>IF(Canola!G51="",'Intermédiaire_Prod-Résultats'!BC47,Canola!G51)</f>
        <v>133.44999999999999</v>
      </c>
      <c r="BF47" s="3">
        <f>Soya!E51</f>
        <v>165.51</v>
      </c>
      <c r="BG47" s="3">
        <f>IF(Soya!G51="",'Intermédiaire_Prod-Résultats'!BF47,Soya!G51)</f>
        <v>165.51</v>
      </c>
      <c r="BI47" s="3">
        <f>Orge!E51</f>
        <v>157.68</v>
      </c>
      <c r="BJ47" s="3">
        <f>IF(Orge!G51="",'Intermédiaire_Prod-Résultats'!BI47,Orge!G51)</f>
        <v>157.68</v>
      </c>
      <c r="BL47" s="3">
        <f>Avoine!E51</f>
        <v>103.92</v>
      </c>
      <c r="BM47" s="3">
        <f>IF(Avoine!G51="",'Intermédiaire_Prod-Résultats'!BL47,Avoine!G51)</f>
        <v>103.92</v>
      </c>
      <c r="BO47" s="3">
        <f>'Blé_d''automne'!E51</f>
        <v>152.99</v>
      </c>
      <c r="BP47" s="3">
        <f>IF('Blé_d''automne'!G51="",'Intermédiaire_Prod-Résultats'!BO47,'Blé_d''automne'!G51)</f>
        <v>152.99</v>
      </c>
      <c r="BR47" s="3">
        <f>Blé_printemps!E51</f>
        <v>152.99</v>
      </c>
      <c r="BS47" s="3">
        <f>IF(Blé_printemps!G51="",'Intermédiaire_Prod-Résultats'!BR47,Blé_printemps!G51)</f>
        <v>152.99</v>
      </c>
      <c r="BU47" s="3">
        <f>Sarrasin!E51</f>
        <v>160.91999999999999</v>
      </c>
      <c r="BV47" s="3">
        <f>IF(Sarrasin!G51="",'Intermédiaire_Prod-Résultats'!BU47,Sarrasin!G51)</f>
        <v>160.91999999999999</v>
      </c>
    </row>
    <row r="48" spans="1:74" x14ac:dyDescent="0.25">
      <c r="A48" t="s">
        <v>42</v>
      </c>
      <c r="D48" s="3">
        <f>'Maïs-grain'!E53</f>
        <v>149.86000000000001</v>
      </c>
      <c r="E48" s="3">
        <f>IF('Maïs-grain'!G53="",'Intermédiaire_Prod-Résultats'!D48,'Maïs-grain'!G53)</f>
        <v>149.86000000000001</v>
      </c>
      <c r="G48" s="3">
        <f>Canola!E52</f>
        <v>17.05</v>
      </c>
      <c r="H48" s="3">
        <f>IF(Canola!G52="",'Intermédiaire_Prod-Résultats'!G48,Canola!G52)</f>
        <v>17.05</v>
      </c>
      <c r="J48" s="3">
        <f>Soya!E52</f>
        <v>114.21</v>
      </c>
      <c r="K48" s="3">
        <f>IF(Soya!G52="",'Intermédiaire_Prod-Résultats'!J48,Soya!G52)</f>
        <v>114.21</v>
      </c>
      <c r="M48" s="3">
        <f>Orge!E52</f>
        <v>24.42</v>
      </c>
      <c r="N48" s="3">
        <f>IF(Orge!G52="",'Intermédiaire_Prod-Résultats'!M48,Orge!G52)</f>
        <v>24.42</v>
      </c>
      <c r="P48" s="3">
        <f>Avoine!E52</f>
        <v>14.03</v>
      </c>
      <c r="Q48" s="3">
        <f>IF(Avoine!G52="",'Intermédiaire_Prod-Résultats'!P48,Avoine!G52)</f>
        <v>14.03</v>
      </c>
      <c r="S48" s="3">
        <f>'Blé_d''automne'!E52</f>
        <v>23.21</v>
      </c>
      <c r="T48" s="3">
        <f>IF('Blé_d''automne'!G52="",'Intermédiaire_Prod-Résultats'!S48,'Blé_d''automne'!G52)</f>
        <v>23.21</v>
      </c>
      <c r="V48" s="3">
        <f>Blé_printemps!E52</f>
        <v>23.21</v>
      </c>
      <c r="W48" s="3">
        <f>IF(Blé_printemps!G52="",'Intermédiaire_Prod-Résultats'!V48,Blé_printemps!G52)</f>
        <v>23.21</v>
      </c>
      <c r="Y48" s="3">
        <f>Sarrasin!E52</f>
        <v>27.22</v>
      </c>
      <c r="Z48" s="3">
        <f>IF(Sarrasin!G52="",'Intermédiaire_Prod-Résultats'!Y48,Sarrasin!G52)</f>
        <v>27.22</v>
      </c>
      <c r="AA48" s="42"/>
      <c r="AB48" s="37">
        <f>'Maïs-grain'!E53</f>
        <v>149.86000000000001</v>
      </c>
      <c r="AC48" s="3">
        <f>IF('Maïs-grain'!G53="",'Intermédiaire_Prod-Résultats'!AB48,'Maïs-grain'!G53)</f>
        <v>149.86000000000001</v>
      </c>
      <c r="AE48" s="3">
        <f>Canola!E52</f>
        <v>17.05</v>
      </c>
      <c r="AF48" s="3">
        <f>IF(Canola!G52="",'Intermédiaire_Prod-Résultats'!AE48,Canola!G52)</f>
        <v>17.05</v>
      </c>
      <c r="AH48" s="3">
        <f>Soya!E52</f>
        <v>114.21</v>
      </c>
      <c r="AI48" s="3">
        <f>IF(Soya!G52="",'Intermédiaire_Prod-Résultats'!AH48,Soya!G52)</f>
        <v>114.21</v>
      </c>
      <c r="AK48" s="3">
        <f>Orge!E52</f>
        <v>24.42</v>
      </c>
      <c r="AL48" s="3">
        <f>IF(Orge!G52="",'Intermédiaire_Prod-Résultats'!AK48,Orge!G52)</f>
        <v>24.42</v>
      </c>
      <c r="AN48" s="3">
        <f>Avoine!E52</f>
        <v>14.03</v>
      </c>
      <c r="AO48" s="3">
        <f>IF(Avoine!G52="",'Intermédiaire_Prod-Résultats'!AN48,Avoine!G52)</f>
        <v>14.03</v>
      </c>
      <c r="AQ48" s="3">
        <f>'Blé_d''automne'!E52</f>
        <v>23.21</v>
      </c>
      <c r="AR48" s="3">
        <f>IF('Blé_d''automne'!G52="",'Intermédiaire_Prod-Résultats'!AQ48,'Blé_d''automne'!G52)</f>
        <v>23.21</v>
      </c>
      <c r="AT48" s="3">
        <f>Blé_printemps!E52</f>
        <v>23.21</v>
      </c>
      <c r="AU48" s="3">
        <f>IF(Blé_printemps!G52="",'Intermédiaire_Prod-Résultats'!AT48,Blé_printemps!G52)</f>
        <v>23.21</v>
      </c>
      <c r="AW48" s="3">
        <f>Sarrasin!E52</f>
        <v>27.22</v>
      </c>
      <c r="AX48" s="3">
        <f>IF(Sarrasin!G52="",'Intermédiaire_Prod-Résultats'!AW48,Sarrasin!G52)</f>
        <v>27.22</v>
      </c>
      <c r="AY48" s="42"/>
      <c r="AZ48" s="37">
        <f>'Maïs-grain'!E53</f>
        <v>149.86000000000001</v>
      </c>
      <c r="BA48" s="3">
        <f>IF('Maïs-grain'!G53="",'Intermédiaire_Prod-Résultats'!AZ48,'Maïs-grain'!G53)</f>
        <v>149.86000000000001</v>
      </c>
      <c r="BC48" s="3">
        <f>Canola!E52</f>
        <v>17.05</v>
      </c>
      <c r="BD48" s="3">
        <f>IF(Canola!G52="",'Intermédiaire_Prod-Résultats'!BC48,Canola!G52)</f>
        <v>17.05</v>
      </c>
      <c r="BF48" s="3">
        <f>Soya!E52</f>
        <v>114.21</v>
      </c>
      <c r="BG48" s="3">
        <f>IF(Soya!G52="",'Intermédiaire_Prod-Résultats'!BF48,Soya!G52)</f>
        <v>114.21</v>
      </c>
      <c r="BI48" s="3">
        <f>Orge!E52</f>
        <v>24.42</v>
      </c>
      <c r="BJ48" s="3">
        <f>IF(Orge!G52="",'Intermédiaire_Prod-Résultats'!BI48,Orge!G52)</f>
        <v>24.42</v>
      </c>
      <c r="BL48" s="3">
        <f>Avoine!E52</f>
        <v>14.03</v>
      </c>
      <c r="BM48" s="3">
        <f>IF(Avoine!G52="",'Intermédiaire_Prod-Résultats'!BL48,Avoine!G52)</f>
        <v>14.03</v>
      </c>
      <c r="BO48" s="3">
        <f>'Blé_d''automne'!E52</f>
        <v>23.21</v>
      </c>
      <c r="BP48" s="3">
        <f>IF('Blé_d''automne'!G52="",'Intermédiaire_Prod-Résultats'!BO48,'Blé_d''automne'!G52)</f>
        <v>23.21</v>
      </c>
      <c r="BR48" s="3">
        <f>Blé_printemps!E52</f>
        <v>23.21</v>
      </c>
      <c r="BS48" s="3">
        <f>IF(Blé_printemps!G52="",'Intermédiaire_Prod-Résultats'!BR48,Blé_printemps!G52)</f>
        <v>23.21</v>
      </c>
      <c r="BU48" s="3">
        <f>Sarrasin!E52</f>
        <v>27.22</v>
      </c>
      <c r="BV48" s="3">
        <f>IF(Sarrasin!G52="",'Intermédiaire_Prod-Résultats'!BU48,Sarrasin!G52)</f>
        <v>27.22</v>
      </c>
    </row>
    <row r="49" spans="1:74" x14ac:dyDescent="0.25">
      <c r="B49" s="1" t="s">
        <v>27</v>
      </c>
      <c r="D49" s="4">
        <f>SUM(D46:D48)</f>
        <v>578.51</v>
      </c>
      <c r="E49" s="4">
        <f>SUM(E46:E48)</f>
        <v>578.51</v>
      </c>
      <c r="G49" s="4">
        <f>SUM(G46:G48)</f>
        <v>284.83999999999997</v>
      </c>
      <c r="H49" s="4">
        <f>SUM(H46:H48)</f>
        <v>284.83999999999997</v>
      </c>
      <c r="J49" s="4">
        <f>SUM(J46:J48)</f>
        <v>456.48999999999995</v>
      </c>
      <c r="K49" s="4">
        <f>SUM(K46:K48)</f>
        <v>456.48999999999995</v>
      </c>
      <c r="M49" s="4">
        <f>SUM(M46:M48)</f>
        <v>343.44</v>
      </c>
      <c r="N49" s="4">
        <f>SUM(N46:N48)</f>
        <v>343.44</v>
      </c>
      <c r="P49" s="4">
        <f>SUM(P46:P48)</f>
        <v>241.34</v>
      </c>
      <c r="Q49" s="4">
        <f>SUM(Q46:Q48)</f>
        <v>241.34</v>
      </c>
      <c r="S49" s="4">
        <f>SUM(S46:S48)</f>
        <v>338.69</v>
      </c>
      <c r="T49" s="4">
        <f>SUM(T46:T48)</f>
        <v>338.69</v>
      </c>
      <c r="V49" s="4">
        <f>SUM(V46:V48)</f>
        <v>338.69</v>
      </c>
      <c r="W49" s="4">
        <f>SUM(W46:W48)</f>
        <v>338.69</v>
      </c>
      <c r="Y49" s="4">
        <f>SUM(Y46:Y48)</f>
        <v>336.16999999999996</v>
      </c>
      <c r="Z49" s="4">
        <f>SUM(Z46:Z48)</f>
        <v>336.16999999999996</v>
      </c>
      <c r="AA49" s="42"/>
      <c r="AB49" s="4">
        <f>SUM(AB46:AB48)</f>
        <v>578.51</v>
      </c>
      <c r="AC49" s="4">
        <f>SUM(AC46:AC48)</f>
        <v>578.51</v>
      </c>
      <c r="AE49" s="4">
        <f>SUM(AE46:AE48)</f>
        <v>284.83999999999997</v>
      </c>
      <c r="AF49" s="4">
        <f>SUM(AF46:AF48)</f>
        <v>284.83999999999997</v>
      </c>
      <c r="AH49" s="4">
        <f>SUM(AH46:AH48)</f>
        <v>456.48999999999995</v>
      </c>
      <c r="AI49" s="4">
        <f>SUM(AI46:AI48)</f>
        <v>456.48999999999995</v>
      </c>
      <c r="AK49" s="4">
        <f>SUM(AK46:AK48)</f>
        <v>343.44</v>
      </c>
      <c r="AL49" s="4">
        <f>SUM(AL46:AL48)</f>
        <v>343.44</v>
      </c>
      <c r="AN49" s="4">
        <f>SUM(AN46:AN48)</f>
        <v>241.34</v>
      </c>
      <c r="AO49" s="4">
        <f>SUM(AO46:AO48)</f>
        <v>241.34</v>
      </c>
      <c r="AQ49" s="4">
        <f>SUM(AQ46:AQ48)</f>
        <v>338.69</v>
      </c>
      <c r="AR49" s="4">
        <f>SUM(AR46:AR48)</f>
        <v>338.69</v>
      </c>
      <c r="AT49" s="4">
        <f>SUM(AT46:AT48)</f>
        <v>338.69</v>
      </c>
      <c r="AU49" s="4">
        <f>SUM(AU46:AU48)</f>
        <v>338.69</v>
      </c>
      <c r="AW49" s="4">
        <f>SUM(AW46:AW48)</f>
        <v>336.16999999999996</v>
      </c>
      <c r="AX49" s="4">
        <f>SUM(AX46:AX48)</f>
        <v>336.16999999999996</v>
      </c>
      <c r="AY49" s="42"/>
      <c r="AZ49" s="4">
        <f>SUM(AZ46:AZ48)</f>
        <v>578.51</v>
      </c>
      <c r="BA49" s="4">
        <f>SUM(BA46:BA48)</f>
        <v>578.51</v>
      </c>
      <c r="BC49" s="4">
        <f>SUM(BC46:BC48)</f>
        <v>284.83999999999997</v>
      </c>
      <c r="BD49" s="4">
        <f>SUM(BD46:BD48)</f>
        <v>284.83999999999997</v>
      </c>
      <c r="BF49" s="4">
        <f>SUM(BF46:BF48)</f>
        <v>456.48999999999995</v>
      </c>
      <c r="BG49" s="4">
        <f>SUM(BG46:BG48)</f>
        <v>456.48999999999995</v>
      </c>
      <c r="BI49" s="4">
        <f>SUM(BI46:BI48)</f>
        <v>343.44</v>
      </c>
      <c r="BJ49" s="4">
        <f>SUM(BJ46:BJ48)</f>
        <v>343.44</v>
      </c>
      <c r="BL49" s="4">
        <f>SUM(BL46:BL48)</f>
        <v>241.34</v>
      </c>
      <c r="BM49" s="4">
        <f>SUM(BM46:BM48)</f>
        <v>241.34</v>
      </c>
      <c r="BO49" s="4">
        <f>SUM(BO46:BO48)</f>
        <v>338.69</v>
      </c>
      <c r="BP49" s="4">
        <f>SUM(BP46:BP48)</f>
        <v>338.69</v>
      </c>
      <c r="BR49" s="4">
        <f>SUM(BR46:BR48)</f>
        <v>338.69</v>
      </c>
      <c r="BS49" s="4">
        <f>SUM(BS46:BS48)</f>
        <v>338.69</v>
      </c>
      <c r="BU49" s="4">
        <f>SUM(BU46:BU48)</f>
        <v>336.16999999999996</v>
      </c>
      <c r="BV49" s="4">
        <f>SUM(BV46:BV48)</f>
        <v>336.16999999999996</v>
      </c>
    </row>
    <row r="50" spans="1:74" x14ac:dyDescent="0.25">
      <c r="D50" s="3"/>
      <c r="E50" s="3"/>
      <c r="G50" s="3"/>
      <c r="H50" s="3"/>
      <c r="J50" s="3"/>
      <c r="K50" s="3"/>
      <c r="M50" s="3"/>
      <c r="N50" s="3"/>
      <c r="P50" s="3"/>
      <c r="Q50" s="3"/>
      <c r="S50" s="3"/>
      <c r="T50" s="3"/>
      <c r="V50" s="3"/>
      <c r="W50" s="3"/>
      <c r="Y50" s="3"/>
      <c r="Z50" s="3"/>
      <c r="AA50" s="42"/>
      <c r="AB50" s="37"/>
      <c r="AC50" s="3"/>
      <c r="AE50" s="3"/>
      <c r="AF50" s="3"/>
      <c r="AH50" s="3"/>
      <c r="AI50" s="3"/>
      <c r="AK50" s="3"/>
      <c r="AL50" s="3"/>
      <c r="AN50" s="3"/>
      <c r="AO50" s="3"/>
      <c r="AQ50" s="3"/>
      <c r="AR50" s="3"/>
      <c r="AT50" s="3"/>
      <c r="AU50" s="3"/>
      <c r="AW50" s="3"/>
      <c r="AX50" s="3"/>
      <c r="AY50" s="42"/>
      <c r="AZ50" s="37"/>
      <c r="BA50" s="3"/>
      <c r="BC50" s="3"/>
      <c r="BD50" s="3"/>
      <c r="BF50" s="3"/>
      <c r="BG50" s="3"/>
      <c r="BI50" s="3"/>
      <c r="BJ50" s="3"/>
      <c r="BL50" s="3"/>
      <c r="BM50" s="3"/>
      <c r="BO50" s="3"/>
      <c r="BP50" s="3"/>
      <c r="BR50" s="3"/>
      <c r="BS50" s="3"/>
      <c r="BU50" s="3"/>
      <c r="BV50" s="3"/>
    </row>
    <row r="51" spans="1:74" ht="44.1" customHeight="1" thickBot="1" x14ac:dyDescent="0.3">
      <c r="A51" s="97" t="s">
        <v>65</v>
      </c>
      <c r="B51" s="97"/>
      <c r="C51" s="97"/>
      <c r="D51" s="9">
        <f>D44-D49</f>
        <v>118.78950000000043</v>
      </c>
      <c r="E51" s="9">
        <f>E44-E49</f>
        <v>118.78950000000043</v>
      </c>
      <c r="G51" s="9">
        <f>G44-G49</f>
        <v>324.52810000000005</v>
      </c>
      <c r="H51" s="9">
        <f>H44-H49</f>
        <v>324.52810000000005</v>
      </c>
      <c r="J51" s="9">
        <f>J44-J49</f>
        <v>137.33369999999974</v>
      </c>
      <c r="K51" s="9">
        <f>K44-K49</f>
        <v>137.33369999999974</v>
      </c>
      <c r="M51" s="9">
        <f>M44-M49</f>
        <v>-66.830799999999783</v>
      </c>
      <c r="N51" s="9">
        <f>N44-N49</f>
        <v>-66.830799999999783</v>
      </c>
      <c r="P51" s="9">
        <f>P44-P49</f>
        <v>-94.194299999999799</v>
      </c>
      <c r="Q51" s="9">
        <f>Q44-Q49</f>
        <v>-94.194299999999799</v>
      </c>
      <c r="S51" s="9">
        <f>S44-S49</f>
        <v>392.33369999999996</v>
      </c>
      <c r="T51" s="9">
        <f>T44-T49</f>
        <v>392.33369999999996</v>
      </c>
      <c r="V51" s="9">
        <f>V44-V49</f>
        <v>60.917799999999772</v>
      </c>
      <c r="W51" s="9">
        <f>W44-W49</f>
        <v>60.917799999999772</v>
      </c>
      <c r="Y51" s="9">
        <f>Y44-Y49</f>
        <v>37.189400000000091</v>
      </c>
      <c r="Z51" s="9">
        <f>Z44-Z49</f>
        <v>37.189400000000091</v>
      </c>
      <c r="AA51" s="42"/>
      <c r="AB51" s="9">
        <f>AB44-AB49</f>
        <v>243.25924100000009</v>
      </c>
      <c r="AC51" s="9">
        <f>AC44-AC49</f>
        <v>243.25924100000009</v>
      </c>
      <c r="AE51" s="9">
        <f>AE44-AE49</f>
        <v>324.52810000000005</v>
      </c>
      <c r="AF51" s="9">
        <f>AF44-AF49</f>
        <v>324.52810000000005</v>
      </c>
      <c r="AH51" s="9">
        <f>AH44-AH49</f>
        <v>164.08369999999974</v>
      </c>
      <c r="AI51" s="9">
        <f>AI44-AI49</f>
        <v>164.08369999999974</v>
      </c>
      <c r="AK51" s="9">
        <f>AK44-AK49</f>
        <v>-22.033025000000123</v>
      </c>
      <c r="AL51" s="9">
        <f>AL44-AL49</f>
        <v>-22.033025000000123</v>
      </c>
      <c r="AN51" s="9">
        <f>AN44-AN49</f>
        <v>-57.352659999999929</v>
      </c>
      <c r="AO51" s="9">
        <f>AO44-AO49</f>
        <v>-57.352659999999929</v>
      </c>
      <c r="AQ51" s="9">
        <f>AQ44-AQ49</f>
        <v>468.44435000000004</v>
      </c>
      <c r="AR51" s="9">
        <f>AR44-AR49</f>
        <v>468.44435000000004</v>
      </c>
      <c r="AT51" s="9">
        <f>AT44-AT49</f>
        <v>120.76340999999985</v>
      </c>
      <c r="AU51" s="9">
        <f>AU44-AU49</f>
        <v>120.76340999999985</v>
      </c>
      <c r="AW51" s="9">
        <f>AW44-AW49</f>
        <v>37.189400000000091</v>
      </c>
      <c r="AX51" s="9">
        <f>AX44-AX49</f>
        <v>37.189400000000091</v>
      </c>
      <c r="AY51" s="42"/>
      <c r="AZ51" s="9">
        <f>AZ44-AZ49</f>
        <v>367.72898200000043</v>
      </c>
      <c r="BA51" s="9">
        <f>BA44-BA49</f>
        <v>367.72898200000043</v>
      </c>
      <c r="BC51" s="9">
        <f>BC44-BC49</f>
        <v>324.52810000000005</v>
      </c>
      <c r="BD51" s="9">
        <f>BD44-BD49</f>
        <v>324.52810000000005</v>
      </c>
      <c r="BF51" s="9">
        <f>BF44-BF49</f>
        <v>190.83369999999974</v>
      </c>
      <c r="BG51" s="9">
        <f>BG44-BG49</f>
        <v>190.83369999999974</v>
      </c>
      <c r="BI51" s="9">
        <f>BI44-BI49</f>
        <v>22.764750000000333</v>
      </c>
      <c r="BJ51" s="9">
        <f>BJ44-BJ49</f>
        <v>22.764750000000333</v>
      </c>
      <c r="BL51" s="9">
        <f>BL44-BL49</f>
        <v>-20.511019999999718</v>
      </c>
      <c r="BM51" s="9">
        <f>BM44-BM49</f>
        <v>-20.511019999999718</v>
      </c>
      <c r="BO51" s="9">
        <f>BO44-BO49</f>
        <v>544.55500000000029</v>
      </c>
      <c r="BP51" s="9">
        <f>BP44-BP49</f>
        <v>544.55500000000029</v>
      </c>
      <c r="BR51" s="9">
        <f>BR44-BR49</f>
        <v>180.60902000000016</v>
      </c>
      <c r="BS51" s="9">
        <f>BS44-BS49</f>
        <v>180.60902000000016</v>
      </c>
      <c r="BU51" s="9">
        <f>BU44-BU49</f>
        <v>37.189400000000091</v>
      </c>
      <c r="BV51" s="9">
        <f>BV44-BV49</f>
        <v>37.189400000000091</v>
      </c>
    </row>
    <row r="52" spans="1:74" ht="15.75" thickTop="1" x14ac:dyDescent="0.25"/>
  </sheetData>
  <mergeCells count="6">
    <mergeCell ref="AZ1:BV1"/>
    <mergeCell ref="A34:C34"/>
    <mergeCell ref="A44:C44"/>
    <mergeCell ref="A51:C51"/>
    <mergeCell ref="D1:Z1"/>
    <mergeCell ref="AB1:AX1"/>
  </mergeCells>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4772F-7AA7-4AE0-B0DA-59ACDC4AD5A6}">
  <sheetPr>
    <tabColor theme="5" tint="0.79998168889431442"/>
  </sheetPr>
  <dimension ref="A1:AC34"/>
  <sheetViews>
    <sheetView zoomScale="130" zoomScaleNormal="130" workbookViewId="0">
      <selection sqref="A1:N1"/>
    </sheetView>
  </sheetViews>
  <sheetFormatPr baseColWidth="10" defaultColWidth="10.85546875" defaultRowHeight="15" outlineLevelRow="1" x14ac:dyDescent="0.25"/>
  <cols>
    <col min="1" max="1" width="69.42578125" customWidth="1"/>
    <col min="2" max="13" width="10.5703125" customWidth="1"/>
    <col min="14" max="14" width="16.42578125" bestFit="1" customWidth="1"/>
    <col min="16" max="16" width="69.140625" customWidth="1"/>
    <col min="17" max="28" width="10.5703125" customWidth="1"/>
    <col min="29" max="29" width="16.42578125" bestFit="1" customWidth="1"/>
  </cols>
  <sheetData>
    <row r="1" spans="1:29" ht="18.75" x14ac:dyDescent="0.3">
      <c r="A1" s="107" t="s">
        <v>87</v>
      </c>
      <c r="B1" s="107"/>
      <c r="C1" s="107"/>
      <c r="D1" s="107"/>
      <c r="E1" s="107"/>
      <c r="F1" s="107"/>
      <c r="G1" s="107"/>
      <c r="H1" s="107"/>
      <c r="I1" s="107"/>
      <c r="J1" s="107"/>
      <c r="K1" s="107"/>
      <c r="L1" s="107"/>
      <c r="M1" s="107"/>
      <c r="N1" s="107"/>
      <c r="P1" s="104" t="s">
        <v>86</v>
      </c>
      <c r="Q1" s="104"/>
      <c r="R1" s="104"/>
      <c r="S1" s="104"/>
      <c r="T1" s="104"/>
      <c r="U1" s="104"/>
      <c r="V1" s="104"/>
      <c r="W1" s="104"/>
      <c r="X1" s="104"/>
      <c r="Y1" s="104"/>
      <c r="Z1" s="104"/>
      <c r="AA1" s="104"/>
      <c r="AB1" s="104"/>
      <c r="AC1" s="104"/>
    </row>
    <row r="2" spans="1:29" ht="15.75" x14ac:dyDescent="0.25">
      <c r="A2" s="108" t="s">
        <v>82</v>
      </c>
      <c r="B2" s="108"/>
      <c r="C2" s="108"/>
      <c r="D2" s="108"/>
      <c r="E2" s="108"/>
      <c r="F2" s="108"/>
      <c r="G2" s="108"/>
      <c r="H2" s="108"/>
      <c r="I2" s="108"/>
      <c r="J2" s="108"/>
      <c r="K2" s="108"/>
      <c r="L2" s="108"/>
      <c r="M2" s="108"/>
      <c r="N2" s="108"/>
      <c r="P2" s="103" t="s">
        <v>82</v>
      </c>
      <c r="Q2" s="103"/>
      <c r="R2" s="103"/>
      <c r="S2" s="103"/>
      <c r="T2" s="103"/>
      <c r="U2" s="103"/>
      <c r="V2" s="103"/>
      <c r="W2" s="103"/>
      <c r="X2" s="103"/>
      <c r="Y2" s="103"/>
      <c r="Z2" s="103"/>
      <c r="AA2" s="103"/>
      <c r="AB2" s="103"/>
      <c r="AC2" s="103"/>
    </row>
    <row r="3" spans="1:29" ht="15.75" x14ac:dyDescent="0.25">
      <c r="A3" s="14"/>
      <c r="B3" s="100" t="s">
        <v>189</v>
      </c>
      <c r="C3" s="100"/>
      <c r="D3" s="100"/>
      <c r="E3" s="100"/>
      <c r="F3" s="100" t="s">
        <v>190</v>
      </c>
      <c r="G3" s="100"/>
      <c r="H3" s="100"/>
      <c r="I3" s="100"/>
      <c r="J3" s="100" t="s">
        <v>191</v>
      </c>
      <c r="K3" s="100"/>
      <c r="L3" s="100"/>
      <c r="M3" s="100"/>
      <c r="N3" s="14"/>
      <c r="P3" s="14"/>
      <c r="Q3" s="100" t="s">
        <v>189</v>
      </c>
      <c r="R3" s="100"/>
      <c r="S3" s="100"/>
      <c r="T3" s="100"/>
      <c r="U3" s="100" t="s">
        <v>190</v>
      </c>
      <c r="V3" s="100"/>
      <c r="W3" s="100"/>
      <c r="X3" s="100"/>
      <c r="Y3" s="100" t="s">
        <v>191</v>
      </c>
      <c r="Z3" s="100"/>
      <c r="AA3" s="100"/>
      <c r="AB3" s="100"/>
      <c r="AC3" s="14"/>
    </row>
    <row r="4" spans="1:29" x14ac:dyDescent="0.25">
      <c r="A4" s="68" t="s">
        <v>205</v>
      </c>
      <c r="B4" s="20" t="s">
        <v>75</v>
      </c>
      <c r="C4" s="15" t="s">
        <v>76</v>
      </c>
      <c r="D4" s="15" t="s">
        <v>77</v>
      </c>
      <c r="E4" s="15" t="s">
        <v>78</v>
      </c>
      <c r="F4" s="15" t="s">
        <v>79</v>
      </c>
      <c r="G4" s="15" t="s">
        <v>80</v>
      </c>
      <c r="H4" s="38" t="s">
        <v>157</v>
      </c>
      <c r="I4" s="38" t="s">
        <v>158</v>
      </c>
      <c r="J4" s="38" t="s">
        <v>159</v>
      </c>
      <c r="K4" s="38" t="s">
        <v>160</v>
      </c>
      <c r="L4" s="38" t="s">
        <v>171</v>
      </c>
      <c r="M4" s="38" t="s">
        <v>172</v>
      </c>
      <c r="N4" s="16" t="s">
        <v>83</v>
      </c>
      <c r="P4" s="71" t="s">
        <v>205</v>
      </c>
      <c r="Q4" s="20" t="s">
        <v>75</v>
      </c>
      <c r="R4" s="15" t="s">
        <v>76</v>
      </c>
      <c r="S4" s="15" t="s">
        <v>77</v>
      </c>
      <c r="T4" s="15" t="s">
        <v>78</v>
      </c>
      <c r="U4" s="15" t="s">
        <v>79</v>
      </c>
      <c r="V4" s="15" t="s">
        <v>80</v>
      </c>
      <c r="W4" s="38" t="s">
        <v>157</v>
      </c>
      <c r="X4" s="38" t="s">
        <v>158</v>
      </c>
      <c r="Y4" s="38" t="s">
        <v>159</v>
      </c>
      <c r="Z4" s="38" t="s">
        <v>160</v>
      </c>
      <c r="AA4" s="38" t="s">
        <v>171</v>
      </c>
      <c r="AB4" s="38" t="s">
        <v>172</v>
      </c>
      <c r="AC4" s="16" t="s">
        <v>83</v>
      </c>
    </row>
    <row r="5" spans="1:29" x14ac:dyDescent="0.25">
      <c r="A5" s="19" t="s">
        <v>183</v>
      </c>
      <c r="B5" s="21">
        <f>'Intermédiaire_Prod-Résultats'!D34</f>
        <v>944.90950000000043</v>
      </c>
      <c r="C5" s="17">
        <f>'Intermédiaire_Prod-Résultats'!J34</f>
        <v>776.16369999999972</v>
      </c>
      <c r="D5" s="17">
        <f>'Intermédiaire_Prod-Résultats'!V34</f>
        <v>539.81779999999981</v>
      </c>
      <c r="E5" s="17">
        <f>'Intermédiaire_Prod-Résultats'!AB34</f>
        <v>1069.3792410000001</v>
      </c>
      <c r="F5" s="17">
        <f>'Intermédiaire_Prod-Résultats'!AH34</f>
        <v>802.91369999999972</v>
      </c>
      <c r="G5" s="17">
        <f>'Intermédiaire_Prod-Résultats'!AT34</f>
        <v>599.66340999999989</v>
      </c>
      <c r="H5" s="39">
        <f>'Intermédiaire_Prod-Résultats'!AZ34</f>
        <v>1193.8489820000004</v>
      </c>
      <c r="I5" s="39">
        <f>'Intermédiaire_Prod-Résultats'!BF34</f>
        <v>829.66369999999972</v>
      </c>
      <c r="J5" s="40">
        <f>'Intermédiaire_Prod-Résultats'!BR34</f>
        <v>659.50902000000019</v>
      </c>
      <c r="K5" s="40" t="s">
        <v>170</v>
      </c>
      <c r="L5" s="40" t="s">
        <v>170</v>
      </c>
      <c r="M5" s="40" t="s">
        <v>170</v>
      </c>
      <c r="N5" s="18">
        <f t="shared" ref="N5:N10" si="0">AVERAGE(B5:M5)</f>
        <v>823.98545033333346</v>
      </c>
      <c r="P5" s="19" t="str">
        <f>A5</f>
        <v>MG - SOYA - BLÉ DE PRINTEMPS PANIFIABLE</v>
      </c>
      <c r="Q5" s="21">
        <f>'Intermédiaire_Prod-Résultats'!E34</f>
        <v>944.90950000000043</v>
      </c>
      <c r="R5" s="17">
        <f>'Intermédiaire_Prod-Résultats'!K34</f>
        <v>776.16369999999972</v>
      </c>
      <c r="S5" s="17">
        <f>'Intermédiaire_Prod-Résultats'!W34</f>
        <v>539.81779999999981</v>
      </c>
      <c r="T5" s="17">
        <f>'Intermédiaire_Prod-Résultats'!AC34</f>
        <v>1069.3792410000001</v>
      </c>
      <c r="U5" s="17">
        <f>'Intermédiaire_Prod-Résultats'!AI34</f>
        <v>802.91369999999972</v>
      </c>
      <c r="V5" s="17">
        <f>'Intermédiaire_Prod-Résultats'!AU34</f>
        <v>599.66340999999989</v>
      </c>
      <c r="W5" s="39">
        <f>'Intermédiaire_Prod-Résultats'!BA34</f>
        <v>1193.8489820000004</v>
      </c>
      <c r="X5" s="39">
        <f>'Intermédiaire_Prod-Résultats'!BG34</f>
        <v>829.66369999999972</v>
      </c>
      <c r="Y5" s="40">
        <f>'Intermédiaire_Prod-Résultats'!BS34</f>
        <v>659.50902000000019</v>
      </c>
      <c r="Z5" s="40" t="s">
        <v>170</v>
      </c>
      <c r="AA5" s="40" t="s">
        <v>170</v>
      </c>
      <c r="AB5" s="40" t="s">
        <v>170</v>
      </c>
      <c r="AC5" s="18">
        <f>AVERAGE(Q5:AB5)</f>
        <v>823.98545033333346</v>
      </c>
    </row>
    <row r="6" spans="1:29" x14ac:dyDescent="0.25">
      <c r="A6" s="49" t="s">
        <v>184</v>
      </c>
      <c r="B6" s="50">
        <f>'Intermédiaire_Prod-Résultats'!D34</f>
        <v>944.90950000000043</v>
      </c>
      <c r="C6" s="51">
        <f>'Intermédiaire_Prod-Résultats'!J34</f>
        <v>776.16369999999972</v>
      </c>
      <c r="D6" s="51">
        <f>'Intermédiaire_Prod-Résultats'!S34</f>
        <v>871.2337</v>
      </c>
      <c r="E6" s="51">
        <f>'Intermédiaire_Prod-Résultats'!AB34</f>
        <v>1069.3792410000001</v>
      </c>
      <c r="F6" s="51">
        <f>'Intermédiaire_Prod-Résultats'!AH34</f>
        <v>802.91369999999972</v>
      </c>
      <c r="G6" s="51">
        <f>'Intermédiaire_Prod-Résultats'!AQ34</f>
        <v>947.34435000000008</v>
      </c>
      <c r="H6" s="52">
        <f>'Intermédiaire_Prod-Résultats'!AZ34</f>
        <v>1193.8489820000004</v>
      </c>
      <c r="I6" s="52">
        <f>'Intermédiaire_Prod-Résultats'!BF34</f>
        <v>829.66369999999972</v>
      </c>
      <c r="J6" s="53">
        <f>'Intermédiaire_Prod-Résultats'!BO34</f>
        <v>1023.4550000000004</v>
      </c>
      <c r="K6" s="53" t="s">
        <v>170</v>
      </c>
      <c r="L6" s="53" t="s">
        <v>170</v>
      </c>
      <c r="M6" s="53" t="s">
        <v>170</v>
      </c>
      <c r="N6" s="18">
        <f t="shared" si="0"/>
        <v>939.87909700000012</v>
      </c>
      <c r="P6" s="19" t="str">
        <f t="shared" ref="P6:P10" si="1">A6</f>
        <v>MG - SOYA - BLÉ D'AUTOMNE PANIFIABLE</v>
      </c>
      <c r="Q6" s="50">
        <f>'Intermédiaire_Prod-Résultats'!E34</f>
        <v>944.90950000000043</v>
      </c>
      <c r="R6" s="51">
        <f>'Intermédiaire_Prod-Résultats'!K34</f>
        <v>776.16369999999972</v>
      </c>
      <c r="S6" s="51">
        <f>'Intermédiaire_Prod-Résultats'!T34</f>
        <v>871.2337</v>
      </c>
      <c r="T6" s="51">
        <f>'Intermédiaire_Prod-Résultats'!AC34</f>
        <v>1069.3792410000001</v>
      </c>
      <c r="U6" s="51">
        <f>'Intermédiaire_Prod-Résultats'!AI34</f>
        <v>802.91369999999972</v>
      </c>
      <c r="V6" s="51">
        <f>'Intermédiaire_Prod-Résultats'!AR34</f>
        <v>947.34435000000008</v>
      </c>
      <c r="W6" s="52">
        <f>'Intermédiaire_Prod-Résultats'!BA34</f>
        <v>1193.8489820000004</v>
      </c>
      <c r="X6" s="52">
        <f>'Intermédiaire_Prod-Résultats'!BG34</f>
        <v>829.66369999999972</v>
      </c>
      <c r="Y6" s="53">
        <f>'Intermédiaire_Prod-Résultats'!BP34</f>
        <v>1023.4550000000004</v>
      </c>
      <c r="Z6" s="53" t="s">
        <v>170</v>
      </c>
      <c r="AA6" s="53" t="s">
        <v>170</v>
      </c>
      <c r="AB6" s="53" t="s">
        <v>170</v>
      </c>
      <c r="AC6" s="18">
        <f t="shared" ref="AC6:AC10" si="2">AVERAGE(Q6:AB6)</f>
        <v>939.87909700000012</v>
      </c>
    </row>
    <row r="7" spans="1:29" x14ac:dyDescent="0.25">
      <c r="A7" s="62" t="s">
        <v>187</v>
      </c>
      <c r="B7" s="50">
        <f>'Intermédiaire_Prod-Résultats'!J34</f>
        <v>776.16369999999972</v>
      </c>
      <c r="C7" s="51">
        <f>'Intermédiaire_Prod-Résultats'!S34</f>
        <v>871.2337</v>
      </c>
      <c r="D7" s="51">
        <f>'Intermédiaire_Prod-Résultats'!G34</f>
        <v>727.66809999999998</v>
      </c>
      <c r="E7" s="51">
        <f>'Intermédiaire_Prod-Résultats'!S34</f>
        <v>871.2337</v>
      </c>
      <c r="F7" s="51">
        <f>'Intermédiaire_Prod-Résultats'!AH34</f>
        <v>802.91369999999972</v>
      </c>
      <c r="G7" s="51">
        <f>'Intermédiaire_Prod-Résultats'!AQ34</f>
        <v>947.34435000000008</v>
      </c>
      <c r="H7" s="52">
        <f>'Intermédiaire_Prod-Résultats'!AE34</f>
        <v>727.66809999999998</v>
      </c>
      <c r="I7" s="52">
        <f>'Intermédiaire_Prod-Résultats'!AQ34</f>
        <v>947.34435000000008</v>
      </c>
      <c r="J7" s="53">
        <f>'Intermédiaire_Prod-Résultats'!BF34</f>
        <v>829.66369999999972</v>
      </c>
      <c r="K7" s="53">
        <f>'Intermédiaire_Prod-Résultats'!BO34</f>
        <v>1023.4550000000004</v>
      </c>
      <c r="L7" s="53">
        <f>'Intermédiaire_Prod-Résultats'!BC34</f>
        <v>727.66809999999998</v>
      </c>
      <c r="M7" s="53">
        <f>'Intermédiaire_Prod-Résultats'!BO34</f>
        <v>1023.4550000000004</v>
      </c>
      <c r="N7" s="18">
        <f t="shared" si="0"/>
        <v>856.31762500000002</v>
      </c>
      <c r="P7" s="19" t="str">
        <f t="shared" si="1"/>
        <v>SOYA - BLÉ D'AUTOMNE PANIFIABLE - CANOLA - BLÉ D'AUTOMNE PANIFIABLE</v>
      </c>
      <c r="Q7" s="50">
        <f>'Intermédiaire_Prod-Résultats'!K34</f>
        <v>776.16369999999972</v>
      </c>
      <c r="R7" s="51">
        <f>'Intermédiaire_Prod-Résultats'!T34</f>
        <v>871.2337</v>
      </c>
      <c r="S7" s="51">
        <f>'Intermédiaire_Prod-Résultats'!H34</f>
        <v>727.66809999999998</v>
      </c>
      <c r="T7" s="51">
        <f>'Intermédiaire_Prod-Résultats'!T34</f>
        <v>871.2337</v>
      </c>
      <c r="U7" s="51">
        <f>'Intermédiaire_Prod-Résultats'!AI34</f>
        <v>802.91369999999972</v>
      </c>
      <c r="V7" s="51">
        <f>'Intermédiaire_Prod-Résultats'!AR34</f>
        <v>947.34435000000008</v>
      </c>
      <c r="W7" s="52">
        <f>'Intermédiaire_Prod-Résultats'!AF34</f>
        <v>727.66809999999998</v>
      </c>
      <c r="X7" s="52">
        <f>'Intermédiaire_Prod-Résultats'!AR34</f>
        <v>947.34435000000008</v>
      </c>
      <c r="Y7" s="53">
        <f>'Intermédiaire_Prod-Résultats'!BG34</f>
        <v>829.66369999999972</v>
      </c>
      <c r="Z7" s="53">
        <f>'Intermédiaire_Prod-Résultats'!BP34</f>
        <v>1023.4550000000004</v>
      </c>
      <c r="AA7" s="53">
        <f>'Intermédiaire_Prod-Résultats'!BD34</f>
        <v>727.66809999999998</v>
      </c>
      <c r="AB7" s="53">
        <f>'Intermédiaire_Prod-Résultats'!BP34</f>
        <v>1023.4550000000004</v>
      </c>
      <c r="AC7" s="18">
        <f t="shared" si="2"/>
        <v>856.31762500000002</v>
      </c>
    </row>
    <row r="8" spans="1:29" x14ac:dyDescent="0.25">
      <c r="A8" s="62" t="s">
        <v>188</v>
      </c>
      <c r="B8" s="50">
        <f>'Intermédiaire_Prod-Résultats'!J34</f>
        <v>776.16369999999972</v>
      </c>
      <c r="C8" s="51">
        <f>'Intermédiaire_Prod-Résultats'!V34</f>
        <v>539.81779999999981</v>
      </c>
      <c r="D8" s="51">
        <f>'Intermédiaire_Prod-Résultats'!G34</f>
        <v>727.66809999999998</v>
      </c>
      <c r="E8" s="51">
        <f>'Intermédiaire_Prod-Résultats'!V34</f>
        <v>539.81779999999981</v>
      </c>
      <c r="F8" s="51">
        <f>'Intermédiaire_Prod-Résultats'!AH34</f>
        <v>802.91369999999972</v>
      </c>
      <c r="G8" s="51">
        <f>'Intermédiaire_Prod-Résultats'!AT34</f>
        <v>599.66340999999989</v>
      </c>
      <c r="H8" s="52">
        <f>'Intermédiaire_Prod-Résultats'!AE34</f>
        <v>727.66809999999998</v>
      </c>
      <c r="I8" s="52">
        <f>'Intermédiaire_Prod-Résultats'!AT34</f>
        <v>599.66340999999989</v>
      </c>
      <c r="J8" s="53">
        <f>'Intermédiaire_Prod-Résultats'!BF34</f>
        <v>829.66369999999972</v>
      </c>
      <c r="K8" s="53">
        <f>'Intermédiaire_Prod-Résultats'!BR34</f>
        <v>659.50902000000019</v>
      </c>
      <c r="L8" s="53">
        <f>'Intermédiaire_Prod-Résultats'!BC34</f>
        <v>727.66809999999998</v>
      </c>
      <c r="M8" s="53">
        <f>'Intermédiaire_Prod-Résultats'!BR34</f>
        <v>659.50902000000019</v>
      </c>
      <c r="N8" s="18">
        <f t="shared" si="0"/>
        <v>682.47715499999993</v>
      </c>
      <c r="P8" s="19" t="str">
        <f t="shared" si="1"/>
        <v>SOYA - BLÉ DE PRINTEMPS PANIFIABLE - CANOLA - BLÉ DE PRINTEMPS PANIFIABLE</v>
      </c>
      <c r="Q8" s="50">
        <f>'Intermédiaire_Prod-Résultats'!K34</f>
        <v>776.16369999999972</v>
      </c>
      <c r="R8" s="51">
        <f>'Intermédiaire_Prod-Résultats'!W34</f>
        <v>539.81779999999981</v>
      </c>
      <c r="S8" s="51">
        <f>'Intermédiaire_Prod-Résultats'!BD34</f>
        <v>727.66809999999998</v>
      </c>
      <c r="T8" s="51">
        <f>'Intermédiaire_Prod-Résultats'!W34</f>
        <v>539.81779999999981</v>
      </c>
      <c r="U8" s="51">
        <f>'Intermédiaire_Prod-Résultats'!AI34</f>
        <v>802.91369999999972</v>
      </c>
      <c r="V8" s="51">
        <f>'Intermédiaire_Prod-Résultats'!AU34</f>
        <v>599.66340999999989</v>
      </c>
      <c r="W8" s="52">
        <f>'Intermédiaire_Prod-Résultats'!BD34</f>
        <v>727.66809999999998</v>
      </c>
      <c r="X8" s="52">
        <f>'Intermédiaire_Prod-Résultats'!AU34</f>
        <v>599.66340999999989</v>
      </c>
      <c r="Y8" s="53">
        <f>'Intermédiaire_Prod-Résultats'!BG34</f>
        <v>829.66369999999972</v>
      </c>
      <c r="Z8" s="53">
        <f>'Intermédiaire_Prod-Résultats'!BS34</f>
        <v>659.50902000000019</v>
      </c>
      <c r="AA8" s="53">
        <f>'Intermédiaire_Prod-Résultats'!BD34</f>
        <v>727.66809999999998</v>
      </c>
      <c r="AB8" s="53">
        <f>'Intermédiaire_Prod-Résultats'!BS34</f>
        <v>659.50902000000019</v>
      </c>
      <c r="AC8" s="18">
        <f t="shared" si="2"/>
        <v>682.47715499999993</v>
      </c>
    </row>
    <row r="9" spans="1:29" x14ac:dyDescent="0.25">
      <c r="A9" s="62" t="s">
        <v>185</v>
      </c>
      <c r="B9" s="50">
        <f>'Intermédiaire_Prod-Résultats'!J34</f>
        <v>776.16369999999972</v>
      </c>
      <c r="C9" s="51">
        <f>'Intermédiaire_Prod-Résultats'!P34</f>
        <v>258.8957000000002</v>
      </c>
      <c r="D9" s="51">
        <f>'Intermédiaire_Prod-Résultats'!G34</f>
        <v>727.66809999999998</v>
      </c>
      <c r="E9" s="51">
        <f>'Intermédiaire_Prod-Résultats'!P34</f>
        <v>258.8957000000002</v>
      </c>
      <c r="F9" s="51">
        <f>'Intermédiaire_Prod-Résultats'!AH34</f>
        <v>802.91369999999972</v>
      </c>
      <c r="G9" s="51">
        <f>'Intermédiaire_Prod-Résultats'!AN34</f>
        <v>295.73734000000007</v>
      </c>
      <c r="H9" s="52">
        <f>'Intermédiaire_Prod-Résultats'!AE34</f>
        <v>727.66809999999998</v>
      </c>
      <c r="I9" s="52">
        <f>'Intermédiaire_Prod-Résultats'!AN34</f>
        <v>295.73734000000007</v>
      </c>
      <c r="J9" s="53">
        <f>'Intermédiaire_Prod-Résultats'!BF34</f>
        <v>829.66369999999972</v>
      </c>
      <c r="K9" s="53">
        <f>'Intermédiaire_Prod-Résultats'!BL34</f>
        <v>332.57898000000029</v>
      </c>
      <c r="L9" s="53">
        <f>'Intermédiaire_Prod-Résultats'!BC34</f>
        <v>727.66809999999998</v>
      </c>
      <c r="M9" s="53">
        <f>'Intermédiaire_Prod-Résultats'!BL34</f>
        <v>332.57898000000029</v>
      </c>
      <c r="N9" s="18">
        <f t="shared" si="0"/>
        <v>530.51412000000005</v>
      </c>
      <c r="P9" s="19" t="str">
        <f t="shared" si="1"/>
        <v>SOYA - AVOINE - CANOLA - AVOINE</v>
      </c>
      <c r="Q9" s="50">
        <f>'Intermédiaire_Prod-Résultats'!K34</f>
        <v>776.16369999999972</v>
      </c>
      <c r="R9" s="51">
        <f>'Intermédiaire_Prod-Résultats'!Q34</f>
        <v>258.8957000000002</v>
      </c>
      <c r="S9" s="51">
        <f>'Intermédiaire_Prod-Résultats'!H34</f>
        <v>727.66809999999998</v>
      </c>
      <c r="T9" s="51">
        <f>'Intermédiaire_Prod-Résultats'!Q34</f>
        <v>258.8957000000002</v>
      </c>
      <c r="U9" s="51">
        <f>'Intermédiaire_Prod-Résultats'!AI34</f>
        <v>802.91369999999972</v>
      </c>
      <c r="V9" s="51">
        <f>'Intermédiaire_Prod-Résultats'!AO34</f>
        <v>295.73734000000007</v>
      </c>
      <c r="W9" s="52">
        <f>'Intermédiaire_Prod-Résultats'!AF34</f>
        <v>727.66809999999998</v>
      </c>
      <c r="X9" s="52">
        <f>'Intermédiaire_Prod-Résultats'!AO34</f>
        <v>295.73734000000007</v>
      </c>
      <c r="Y9" s="53">
        <f>'Intermédiaire_Prod-Résultats'!BG34</f>
        <v>829.66369999999972</v>
      </c>
      <c r="Z9" s="53">
        <f>'Intermédiaire_Prod-Résultats'!BM34</f>
        <v>332.57898000000029</v>
      </c>
      <c r="AA9" s="53">
        <f>'Intermédiaire_Prod-Résultats'!BD34</f>
        <v>727.66809999999998</v>
      </c>
      <c r="AB9" s="53">
        <f>'Intermédiaire_Prod-Résultats'!BM34</f>
        <v>332.57898000000029</v>
      </c>
      <c r="AC9" s="18">
        <f t="shared" si="2"/>
        <v>530.51412000000005</v>
      </c>
    </row>
    <row r="10" spans="1:29" x14ac:dyDescent="0.25">
      <c r="A10" s="62" t="s">
        <v>186</v>
      </c>
      <c r="B10" s="50">
        <f>'Intermédiaire_Prod-Résultats'!J34</f>
        <v>776.16369999999972</v>
      </c>
      <c r="C10" s="51">
        <f>'Intermédiaire_Prod-Résultats'!M34</f>
        <v>410.25920000000019</v>
      </c>
      <c r="D10" s="51">
        <f>'Intermédiaire_Prod-Résultats'!G34</f>
        <v>727.66809999999998</v>
      </c>
      <c r="E10" s="51">
        <f>'Intermédiaire_Prod-Résultats'!M34</f>
        <v>410.25920000000019</v>
      </c>
      <c r="F10" s="51">
        <f>'Intermédiaire_Prod-Résultats'!AH34</f>
        <v>802.91369999999972</v>
      </c>
      <c r="G10" s="51">
        <f>'Intermédiaire_Prod-Résultats'!AK34</f>
        <v>455.05697499999985</v>
      </c>
      <c r="H10" s="52">
        <f>'Intermédiaire_Prod-Résultats'!AE34</f>
        <v>727.66809999999998</v>
      </c>
      <c r="I10" s="52">
        <f>'Intermédiaire_Prod-Résultats'!AK34</f>
        <v>455.05697499999985</v>
      </c>
      <c r="J10" s="53">
        <f>'Intermédiaire_Prod-Résultats'!BF34</f>
        <v>829.66369999999972</v>
      </c>
      <c r="K10" s="53">
        <f>'Intermédiaire_Prod-Résultats'!BI34</f>
        <v>499.85475000000031</v>
      </c>
      <c r="L10" s="53">
        <f>'Intermédiaire_Prod-Résultats'!BC34</f>
        <v>727.66809999999998</v>
      </c>
      <c r="M10" s="53">
        <f>'Intermédiaire_Prod-Résultats'!BI34</f>
        <v>499.85475000000031</v>
      </c>
      <c r="N10" s="18">
        <f t="shared" si="0"/>
        <v>610.17393749999997</v>
      </c>
      <c r="P10" s="19" t="str">
        <f t="shared" si="1"/>
        <v>SOYA - ORGE - CANOLA - ORGE</v>
      </c>
      <c r="Q10" s="50">
        <f>'Intermédiaire_Prod-Résultats'!K34</f>
        <v>776.16369999999972</v>
      </c>
      <c r="R10" s="51">
        <f>'Intermédiaire_Prod-Résultats'!N34</f>
        <v>410.25920000000019</v>
      </c>
      <c r="S10" s="51">
        <f>'Intermédiaire_Prod-Résultats'!H34</f>
        <v>727.66809999999998</v>
      </c>
      <c r="T10" s="51">
        <f>'Intermédiaire_Prod-Résultats'!N34</f>
        <v>410.25920000000019</v>
      </c>
      <c r="U10" s="51">
        <f>'Intermédiaire_Prod-Résultats'!AI34</f>
        <v>802.91369999999972</v>
      </c>
      <c r="V10" s="51">
        <f>'Intermédiaire_Prod-Résultats'!AL34</f>
        <v>455.05697499999985</v>
      </c>
      <c r="W10" s="52">
        <f>'Intermédiaire_Prod-Résultats'!AF34</f>
        <v>727.66809999999998</v>
      </c>
      <c r="X10" s="52">
        <f>'Intermédiaire_Prod-Résultats'!AL34</f>
        <v>455.05697499999985</v>
      </c>
      <c r="Y10" s="53">
        <f>'Intermédiaire_Prod-Résultats'!BG34</f>
        <v>829.66369999999972</v>
      </c>
      <c r="Z10" s="53">
        <f>'Intermédiaire_Prod-Résultats'!BJ34</f>
        <v>499.85475000000031</v>
      </c>
      <c r="AA10" s="53">
        <f>'Intermédiaire_Prod-Résultats'!BD34</f>
        <v>727.66809999999998</v>
      </c>
      <c r="AB10" s="53">
        <f>'Intermédiaire_Prod-Résultats'!BJ34</f>
        <v>499.85475000000031</v>
      </c>
      <c r="AC10" s="18">
        <f t="shared" si="2"/>
        <v>610.17393749999997</v>
      </c>
    </row>
    <row r="13" spans="1:29" ht="18.75" x14ac:dyDescent="0.3">
      <c r="A13" s="109" t="s">
        <v>81</v>
      </c>
      <c r="B13" s="109"/>
      <c r="C13" s="109"/>
      <c r="D13" s="109"/>
      <c r="E13" s="109"/>
      <c r="F13" s="109"/>
      <c r="G13" s="109"/>
      <c r="H13" s="109"/>
      <c r="I13" s="109"/>
      <c r="J13" s="109"/>
      <c r="K13" s="109"/>
      <c r="L13" s="109"/>
      <c r="M13" s="109"/>
      <c r="N13" s="109"/>
      <c r="P13" s="106" t="s">
        <v>86</v>
      </c>
      <c r="Q13" s="106"/>
      <c r="R13" s="106"/>
      <c r="S13" s="106"/>
      <c r="T13" s="106"/>
      <c r="U13" s="106"/>
      <c r="V13" s="106"/>
      <c r="W13" s="106"/>
      <c r="X13" s="106"/>
      <c r="Y13" s="106"/>
      <c r="Z13" s="106"/>
      <c r="AA13" s="106"/>
      <c r="AB13" s="106"/>
      <c r="AC13" s="106"/>
    </row>
    <row r="14" spans="1:29" ht="15.75" x14ac:dyDescent="0.25">
      <c r="A14" s="110" t="s">
        <v>84</v>
      </c>
      <c r="B14" s="110"/>
      <c r="C14" s="110"/>
      <c r="D14" s="110"/>
      <c r="E14" s="110"/>
      <c r="F14" s="110"/>
      <c r="G14" s="110"/>
      <c r="H14" s="110"/>
      <c r="I14" s="110"/>
      <c r="J14" s="110"/>
      <c r="K14" s="110"/>
      <c r="L14" s="110"/>
      <c r="M14" s="110"/>
      <c r="N14" s="110"/>
      <c r="P14" s="105" t="s">
        <v>84</v>
      </c>
      <c r="Q14" s="105"/>
      <c r="R14" s="105"/>
      <c r="S14" s="105"/>
      <c r="T14" s="105"/>
      <c r="U14" s="105"/>
      <c r="V14" s="105"/>
      <c r="W14" s="105"/>
      <c r="X14" s="105"/>
      <c r="Y14" s="105"/>
      <c r="Z14" s="105"/>
      <c r="AA14" s="105"/>
      <c r="AB14" s="105"/>
      <c r="AC14" s="105"/>
    </row>
    <row r="15" spans="1:29" ht="15.75" outlineLevel="1" x14ac:dyDescent="0.25">
      <c r="A15" s="14"/>
      <c r="B15" s="100" t="s">
        <v>189</v>
      </c>
      <c r="C15" s="100"/>
      <c r="D15" s="100"/>
      <c r="E15" s="100"/>
      <c r="F15" s="100" t="s">
        <v>190</v>
      </c>
      <c r="G15" s="100"/>
      <c r="H15" s="100"/>
      <c r="I15" s="100"/>
      <c r="J15" s="100" t="s">
        <v>191</v>
      </c>
      <c r="K15" s="100"/>
      <c r="L15" s="100"/>
      <c r="M15" s="100"/>
      <c r="N15" s="14"/>
      <c r="P15" s="14"/>
      <c r="Q15" s="100" t="s">
        <v>189</v>
      </c>
      <c r="R15" s="100"/>
      <c r="S15" s="100"/>
      <c r="T15" s="100"/>
      <c r="U15" s="100" t="s">
        <v>190</v>
      </c>
      <c r="V15" s="100"/>
      <c r="W15" s="100"/>
      <c r="X15" s="100"/>
      <c r="Y15" s="100" t="s">
        <v>191</v>
      </c>
      <c r="Z15" s="100"/>
      <c r="AA15" s="100"/>
      <c r="AB15" s="100"/>
      <c r="AC15" s="14"/>
    </row>
    <row r="16" spans="1:29" outlineLevel="1" x14ac:dyDescent="0.25">
      <c r="A16" s="69" t="s">
        <v>205</v>
      </c>
      <c r="B16" s="20" t="s">
        <v>75</v>
      </c>
      <c r="C16" s="15" t="s">
        <v>76</v>
      </c>
      <c r="D16" s="15" t="s">
        <v>77</v>
      </c>
      <c r="E16" s="15" t="s">
        <v>78</v>
      </c>
      <c r="F16" s="15" t="s">
        <v>79</v>
      </c>
      <c r="G16" s="15" t="s">
        <v>80</v>
      </c>
      <c r="H16" s="15" t="s">
        <v>157</v>
      </c>
      <c r="I16" s="15" t="s">
        <v>158</v>
      </c>
      <c r="J16" s="15" t="s">
        <v>159</v>
      </c>
      <c r="K16" s="15" t="s">
        <v>160</v>
      </c>
      <c r="L16" s="15" t="s">
        <v>171</v>
      </c>
      <c r="M16" s="15" t="s">
        <v>172</v>
      </c>
      <c r="N16" s="16" t="s">
        <v>83</v>
      </c>
      <c r="P16" s="72" t="s">
        <v>205</v>
      </c>
      <c r="Q16" s="20" t="s">
        <v>75</v>
      </c>
      <c r="R16" s="15" t="s">
        <v>76</v>
      </c>
      <c r="S16" s="15" t="s">
        <v>77</v>
      </c>
      <c r="T16" s="15" t="s">
        <v>78</v>
      </c>
      <c r="U16" s="15" t="s">
        <v>79</v>
      </c>
      <c r="V16" s="15" t="s">
        <v>80</v>
      </c>
      <c r="W16" s="15" t="s">
        <v>157</v>
      </c>
      <c r="X16" s="15" t="s">
        <v>158</v>
      </c>
      <c r="Y16" s="15" t="s">
        <v>159</v>
      </c>
      <c r="Z16" s="15" t="s">
        <v>160</v>
      </c>
      <c r="AA16" s="15" t="s">
        <v>171</v>
      </c>
      <c r="AB16" s="15" t="s">
        <v>172</v>
      </c>
      <c r="AC16" s="16" t="s">
        <v>83</v>
      </c>
    </row>
    <row r="17" spans="1:29" outlineLevel="1" x14ac:dyDescent="0.25">
      <c r="A17" s="19" t="str">
        <f t="shared" ref="A17:A22" si="3">A5</f>
        <v>MG - SOYA - BLÉ DE PRINTEMPS PANIFIABLE</v>
      </c>
      <c r="B17" s="21">
        <f>'Intermédiaire_Prod-Résultats'!D44</f>
        <v>697.29950000000042</v>
      </c>
      <c r="C17" s="17">
        <f>'Intermédiaire_Prod-Résultats'!J44</f>
        <v>593.82369999999969</v>
      </c>
      <c r="D17" s="17">
        <f>'Intermédiaire_Prod-Résultats'!V44</f>
        <v>399.60779999999977</v>
      </c>
      <c r="E17" s="17">
        <f>'Intermédiaire_Prod-Résultats'!AB44</f>
        <v>821.76924100000008</v>
      </c>
      <c r="F17" s="17">
        <f>'Intermédiaire_Prod-Résultats'!AH44</f>
        <v>620.57369999999969</v>
      </c>
      <c r="G17" s="17">
        <f>'Intermédiaire_Prod-Résultats'!AT44</f>
        <v>459.45340999999985</v>
      </c>
      <c r="H17" s="39">
        <f>'Intermédiaire_Prod-Résultats'!AZ44</f>
        <v>946.23898200000042</v>
      </c>
      <c r="I17" s="39">
        <f>'Intermédiaire_Prod-Résultats'!BF44</f>
        <v>647.32369999999969</v>
      </c>
      <c r="J17" s="40">
        <f>'Intermédiaire_Prod-Résultats'!BR44</f>
        <v>519.29902000000016</v>
      </c>
      <c r="K17" s="40" t="s">
        <v>170</v>
      </c>
      <c r="L17" s="40" t="s">
        <v>170</v>
      </c>
      <c r="M17" s="40" t="s">
        <v>170</v>
      </c>
      <c r="N17" s="18">
        <f t="shared" ref="N17:N22" si="4">AVERAGE(B17:M17)</f>
        <v>633.93211700000006</v>
      </c>
      <c r="P17" s="19" t="str">
        <f t="shared" ref="P17:P22" si="5">P5</f>
        <v>MG - SOYA - BLÉ DE PRINTEMPS PANIFIABLE</v>
      </c>
      <c r="Q17" s="21">
        <f>'Intermédiaire_Prod-Résultats'!E44</f>
        <v>697.29950000000042</v>
      </c>
      <c r="R17" s="17">
        <f>'Intermédiaire_Prod-Résultats'!K44</f>
        <v>593.82369999999969</v>
      </c>
      <c r="S17" s="17">
        <f>'Intermédiaire_Prod-Résultats'!W44</f>
        <v>399.60779999999977</v>
      </c>
      <c r="T17" s="17">
        <f>'Intermédiaire_Prod-Résultats'!AC44</f>
        <v>821.76924100000008</v>
      </c>
      <c r="U17" s="17">
        <f>'Intermédiaire_Prod-Résultats'!AI44</f>
        <v>620.57369999999969</v>
      </c>
      <c r="V17" s="17">
        <f>'Intermédiaire_Prod-Résultats'!AU44</f>
        <v>459.45340999999985</v>
      </c>
      <c r="W17" s="39">
        <f>'Intermédiaire_Prod-Résultats'!BA44</f>
        <v>946.23898200000042</v>
      </c>
      <c r="X17" s="39">
        <f>'Intermédiaire_Prod-Résultats'!BG44</f>
        <v>647.32369999999969</v>
      </c>
      <c r="Y17" s="40">
        <f>'Intermédiaire_Prod-Résultats'!BS44</f>
        <v>519.29902000000016</v>
      </c>
      <c r="Z17" s="40" t="s">
        <v>170</v>
      </c>
      <c r="AA17" s="40" t="s">
        <v>170</v>
      </c>
      <c r="AB17" s="40" t="s">
        <v>170</v>
      </c>
      <c r="AC17" s="18">
        <f>AVERAGE(Q17:AB17)</f>
        <v>633.93211700000006</v>
      </c>
    </row>
    <row r="18" spans="1:29" outlineLevel="1" x14ac:dyDescent="0.25">
      <c r="A18" s="19" t="str">
        <f t="shared" si="3"/>
        <v>MG - SOYA - BLÉ D'AUTOMNE PANIFIABLE</v>
      </c>
      <c r="B18" s="50">
        <f>'Intermédiaire_Prod-Résultats'!D44</f>
        <v>697.29950000000042</v>
      </c>
      <c r="C18" s="51">
        <f>'Intermédiaire_Prod-Résultats'!J44</f>
        <v>593.82369999999969</v>
      </c>
      <c r="D18" s="51">
        <f>'Intermédiaire_Prod-Résultats'!S44</f>
        <v>731.02369999999996</v>
      </c>
      <c r="E18" s="51">
        <f>'Intermédiaire_Prod-Résultats'!AB44</f>
        <v>821.76924100000008</v>
      </c>
      <c r="F18" s="51">
        <f>'Intermédiaire_Prod-Résultats'!AH44</f>
        <v>620.57369999999969</v>
      </c>
      <c r="G18" s="51">
        <f>'Intermédiaire_Prod-Résultats'!AQ44</f>
        <v>807.13435000000004</v>
      </c>
      <c r="H18" s="52">
        <f>'Intermédiaire_Prod-Résultats'!AZ44</f>
        <v>946.23898200000042</v>
      </c>
      <c r="I18" s="52">
        <f>'Intermédiaire_Prod-Résultats'!BF44</f>
        <v>647.32369999999969</v>
      </c>
      <c r="J18" s="53">
        <f>'Intermédiaire_Prod-Résultats'!BO44</f>
        <v>883.24500000000035</v>
      </c>
      <c r="K18" s="53" t="s">
        <v>170</v>
      </c>
      <c r="L18" s="53" t="s">
        <v>170</v>
      </c>
      <c r="M18" s="53" t="s">
        <v>170</v>
      </c>
      <c r="N18" s="18">
        <f t="shared" si="4"/>
        <v>749.82576366666683</v>
      </c>
      <c r="P18" s="19" t="str">
        <f t="shared" si="5"/>
        <v>MG - SOYA - BLÉ D'AUTOMNE PANIFIABLE</v>
      </c>
      <c r="Q18" s="50">
        <f>'Intermédiaire_Prod-Résultats'!E44</f>
        <v>697.29950000000042</v>
      </c>
      <c r="R18" s="51">
        <f>'Intermédiaire_Prod-Résultats'!K44</f>
        <v>593.82369999999969</v>
      </c>
      <c r="S18" s="51">
        <f>'Intermédiaire_Prod-Résultats'!T44</f>
        <v>731.02369999999996</v>
      </c>
      <c r="T18" s="51">
        <f>'Intermédiaire_Prod-Résultats'!AC44</f>
        <v>821.76924100000008</v>
      </c>
      <c r="U18" s="51">
        <f>'Intermédiaire_Prod-Résultats'!AI44</f>
        <v>620.57369999999969</v>
      </c>
      <c r="V18" s="51">
        <f>'Intermédiaire_Prod-Résultats'!AR44</f>
        <v>807.13435000000004</v>
      </c>
      <c r="W18" s="52">
        <f>'Intermédiaire_Prod-Résultats'!BA44</f>
        <v>946.23898200000042</v>
      </c>
      <c r="X18" s="52">
        <f>'Intermédiaire_Prod-Résultats'!BG44</f>
        <v>647.32369999999969</v>
      </c>
      <c r="Y18" s="53">
        <f>'Intermédiaire_Prod-Résultats'!BP44</f>
        <v>883.24500000000035</v>
      </c>
      <c r="Z18" s="53" t="s">
        <v>170</v>
      </c>
      <c r="AA18" s="53" t="s">
        <v>170</v>
      </c>
      <c r="AB18" s="53" t="s">
        <v>170</v>
      </c>
      <c r="AC18" s="18">
        <f t="shared" ref="AC18:AC22" si="6">AVERAGE(Q18:AB18)</f>
        <v>749.82576366666683</v>
      </c>
    </row>
    <row r="19" spans="1:29" outlineLevel="1" x14ac:dyDescent="0.25">
      <c r="A19" s="19" t="str">
        <f t="shared" si="3"/>
        <v>SOYA - BLÉ D'AUTOMNE PANIFIABLE - CANOLA - BLÉ D'AUTOMNE PANIFIABLE</v>
      </c>
      <c r="B19" s="50">
        <f>'Intermédiaire_Prod-Résultats'!J44</f>
        <v>593.82369999999969</v>
      </c>
      <c r="C19" s="51">
        <f>'Intermédiaire_Prod-Résultats'!S44</f>
        <v>731.02369999999996</v>
      </c>
      <c r="D19" s="51">
        <f>'Intermédiaire_Prod-Résultats'!G44</f>
        <v>609.36810000000003</v>
      </c>
      <c r="E19" s="51">
        <f>'Intermédiaire_Prod-Résultats'!S44</f>
        <v>731.02369999999996</v>
      </c>
      <c r="F19" s="51">
        <f>'Intermédiaire_Prod-Résultats'!AH44</f>
        <v>620.57369999999969</v>
      </c>
      <c r="G19" s="51">
        <f>'Intermédiaire_Prod-Résultats'!AQ44</f>
        <v>807.13435000000004</v>
      </c>
      <c r="H19" s="52">
        <f>'Intermédiaire_Prod-Résultats'!AE44</f>
        <v>609.36810000000003</v>
      </c>
      <c r="I19" s="52">
        <f>'Intermédiaire_Prod-Résultats'!AQ44</f>
        <v>807.13435000000004</v>
      </c>
      <c r="J19" s="53">
        <f>'Intermédiaire_Prod-Résultats'!BF44</f>
        <v>647.32369999999969</v>
      </c>
      <c r="K19" s="53">
        <f>'Intermédiaire_Prod-Résultats'!BO44</f>
        <v>883.24500000000035</v>
      </c>
      <c r="L19" s="53">
        <f>'Intermédiaire_Prod-Résultats'!BC44</f>
        <v>609.36810000000003</v>
      </c>
      <c r="M19" s="53">
        <f>'Intermédiaire_Prod-Résultats'!BO44</f>
        <v>883.24500000000035</v>
      </c>
      <c r="N19" s="18">
        <f t="shared" si="4"/>
        <v>711.05262500000015</v>
      </c>
      <c r="P19" s="19" t="str">
        <f t="shared" si="5"/>
        <v>SOYA - BLÉ D'AUTOMNE PANIFIABLE - CANOLA - BLÉ D'AUTOMNE PANIFIABLE</v>
      </c>
      <c r="Q19" s="50">
        <f>'Intermédiaire_Prod-Résultats'!K44</f>
        <v>593.82369999999969</v>
      </c>
      <c r="R19" s="51">
        <f>'Intermédiaire_Prod-Résultats'!T44</f>
        <v>731.02369999999996</v>
      </c>
      <c r="S19" s="51">
        <f>'Intermédiaire_Prod-Résultats'!H44</f>
        <v>609.36810000000003</v>
      </c>
      <c r="T19" s="51">
        <f>'Intermédiaire_Prod-Résultats'!T44</f>
        <v>731.02369999999996</v>
      </c>
      <c r="U19" s="51">
        <f>'Intermédiaire_Prod-Résultats'!AI44</f>
        <v>620.57369999999969</v>
      </c>
      <c r="V19" s="51">
        <f>'Intermédiaire_Prod-Résultats'!AR44</f>
        <v>807.13435000000004</v>
      </c>
      <c r="W19" s="52">
        <f>'Intermédiaire_Prod-Résultats'!AF44</f>
        <v>609.36810000000003</v>
      </c>
      <c r="X19" s="52">
        <f>'Intermédiaire_Prod-Résultats'!AR44</f>
        <v>807.13435000000004</v>
      </c>
      <c r="Y19" s="53">
        <f>'Intermédiaire_Prod-Résultats'!BG44</f>
        <v>647.32369999999969</v>
      </c>
      <c r="Z19" s="53">
        <f>'Intermédiaire_Prod-Résultats'!BP44</f>
        <v>883.24500000000035</v>
      </c>
      <c r="AA19" s="53">
        <f>'Intermédiaire_Prod-Résultats'!BD44</f>
        <v>609.36810000000003</v>
      </c>
      <c r="AB19" s="53">
        <f>'Intermédiaire_Prod-Résultats'!BP44</f>
        <v>883.24500000000035</v>
      </c>
      <c r="AC19" s="18">
        <f t="shared" si="6"/>
        <v>711.05262500000015</v>
      </c>
    </row>
    <row r="20" spans="1:29" outlineLevel="1" x14ac:dyDescent="0.25">
      <c r="A20" s="19" t="str">
        <f t="shared" si="3"/>
        <v>SOYA - BLÉ DE PRINTEMPS PANIFIABLE - CANOLA - BLÉ DE PRINTEMPS PANIFIABLE</v>
      </c>
      <c r="B20" s="50">
        <f>'Intermédiaire_Prod-Résultats'!J44</f>
        <v>593.82369999999969</v>
      </c>
      <c r="C20" s="51">
        <f>'Intermédiaire_Prod-Résultats'!V44</f>
        <v>399.60779999999977</v>
      </c>
      <c r="D20" s="51">
        <f>'Intermédiaire_Prod-Résultats'!G44</f>
        <v>609.36810000000003</v>
      </c>
      <c r="E20" s="51">
        <f>'Intermédiaire_Prod-Résultats'!V44</f>
        <v>399.60779999999977</v>
      </c>
      <c r="F20" s="51">
        <f>'Intermédiaire_Prod-Résultats'!AH44</f>
        <v>620.57369999999969</v>
      </c>
      <c r="G20" s="51">
        <f>'Intermédiaire_Prod-Résultats'!AT44</f>
        <v>459.45340999999985</v>
      </c>
      <c r="H20" s="52">
        <f>'Intermédiaire_Prod-Résultats'!AE44</f>
        <v>609.36810000000003</v>
      </c>
      <c r="I20" s="52">
        <f>'Intermédiaire_Prod-Résultats'!AT44</f>
        <v>459.45340999999985</v>
      </c>
      <c r="J20" s="53">
        <f>'Intermédiaire_Prod-Résultats'!BF44</f>
        <v>647.32369999999969</v>
      </c>
      <c r="K20" s="53">
        <f>'Intermédiaire_Prod-Résultats'!BR44</f>
        <v>519.29902000000016</v>
      </c>
      <c r="L20" s="53">
        <f>'Intermédiaire_Prod-Résultats'!BC44</f>
        <v>609.36810000000003</v>
      </c>
      <c r="M20" s="53">
        <f>'Intermédiaire_Prod-Résultats'!BR44</f>
        <v>519.29902000000016</v>
      </c>
      <c r="N20" s="18">
        <f t="shared" si="4"/>
        <v>537.21215499999994</v>
      </c>
      <c r="P20" s="19" t="str">
        <f t="shared" si="5"/>
        <v>SOYA - BLÉ DE PRINTEMPS PANIFIABLE - CANOLA - BLÉ DE PRINTEMPS PANIFIABLE</v>
      </c>
      <c r="Q20" s="50">
        <f>'Intermédiaire_Prod-Résultats'!K44</f>
        <v>593.82369999999969</v>
      </c>
      <c r="R20" s="51">
        <f>'Intermédiaire_Prod-Résultats'!W44</f>
        <v>399.60779999999977</v>
      </c>
      <c r="S20" s="51">
        <f>'Intermédiaire_Prod-Résultats'!BD44</f>
        <v>609.36810000000003</v>
      </c>
      <c r="T20" s="51">
        <f>'Intermédiaire_Prod-Résultats'!W44</f>
        <v>399.60779999999977</v>
      </c>
      <c r="U20" s="51">
        <f>'Intermédiaire_Prod-Résultats'!AI44</f>
        <v>620.57369999999969</v>
      </c>
      <c r="V20" s="51">
        <f>'Intermédiaire_Prod-Résultats'!AU44</f>
        <v>459.45340999999985</v>
      </c>
      <c r="W20" s="52">
        <f>'Intermédiaire_Prod-Résultats'!BD44</f>
        <v>609.36810000000003</v>
      </c>
      <c r="X20" s="52">
        <f>'Intermédiaire_Prod-Résultats'!AU44</f>
        <v>459.45340999999985</v>
      </c>
      <c r="Y20" s="53">
        <f>'Intermédiaire_Prod-Résultats'!BG44</f>
        <v>647.32369999999969</v>
      </c>
      <c r="Z20" s="53">
        <f>'Intermédiaire_Prod-Résultats'!BS44</f>
        <v>519.29902000000016</v>
      </c>
      <c r="AA20" s="53">
        <f>'Intermédiaire_Prod-Résultats'!BD44</f>
        <v>609.36810000000003</v>
      </c>
      <c r="AB20" s="53">
        <f>'Intermédiaire_Prod-Résultats'!BS44</f>
        <v>519.29902000000016</v>
      </c>
      <c r="AC20" s="18">
        <f t="shared" si="6"/>
        <v>537.21215499999994</v>
      </c>
    </row>
    <row r="21" spans="1:29" outlineLevel="1" x14ac:dyDescent="0.25">
      <c r="A21" s="19" t="str">
        <f t="shared" si="3"/>
        <v>SOYA - AVOINE - CANOLA - AVOINE</v>
      </c>
      <c r="B21" s="50">
        <f>'Intermédiaire_Prod-Résultats'!J44</f>
        <v>593.82369999999969</v>
      </c>
      <c r="C21" s="51">
        <f>'Intermédiaire_Prod-Résultats'!P44</f>
        <v>147.1457000000002</v>
      </c>
      <c r="D21" s="51">
        <f>'Intermédiaire_Prod-Résultats'!G44</f>
        <v>609.36810000000003</v>
      </c>
      <c r="E21" s="51">
        <f>'Intermédiaire_Prod-Résultats'!P44</f>
        <v>147.1457000000002</v>
      </c>
      <c r="F21" s="51">
        <f>'Intermédiaire_Prod-Résultats'!AH44</f>
        <v>620.57369999999969</v>
      </c>
      <c r="G21" s="51">
        <f>'Intermédiaire_Prod-Résultats'!AN44</f>
        <v>183.98734000000007</v>
      </c>
      <c r="H21" s="52">
        <f>'Intermédiaire_Prod-Résultats'!AE44</f>
        <v>609.36810000000003</v>
      </c>
      <c r="I21" s="52">
        <f>'Intermédiaire_Prod-Résultats'!AN44</f>
        <v>183.98734000000007</v>
      </c>
      <c r="J21" s="53">
        <f>'Intermédiaire_Prod-Résultats'!BF44</f>
        <v>647.32369999999969</v>
      </c>
      <c r="K21" s="53">
        <f>'Intermédiaire_Prod-Résultats'!BL44</f>
        <v>220.82898000000029</v>
      </c>
      <c r="L21" s="53">
        <f>'Intermédiaire_Prod-Résultats'!BC44</f>
        <v>609.36810000000003</v>
      </c>
      <c r="M21" s="53">
        <f>'Intermédiaire_Prod-Résultats'!BL44</f>
        <v>220.82898000000029</v>
      </c>
      <c r="N21" s="18">
        <f t="shared" si="4"/>
        <v>399.47912000000002</v>
      </c>
      <c r="P21" s="19" t="str">
        <f t="shared" si="5"/>
        <v>SOYA - AVOINE - CANOLA - AVOINE</v>
      </c>
      <c r="Q21" s="50">
        <f>'Intermédiaire_Prod-Résultats'!K44</f>
        <v>593.82369999999969</v>
      </c>
      <c r="R21" s="51">
        <f>'Intermédiaire_Prod-Résultats'!Q44</f>
        <v>147.1457000000002</v>
      </c>
      <c r="S21" s="51">
        <f>'Intermédiaire_Prod-Résultats'!H44</f>
        <v>609.36810000000003</v>
      </c>
      <c r="T21" s="51">
        <f>'Intermédiaire_Prod-Résultats'!Q44</f>
        <v>147.1457000000002</v>
      </c>
      <c r="U21" s="51">
        <f>'Intermédiaire_Prod-Résultats'!AI44</f>
        <v>620.57369999999969</v>
      </c>
      <c r="V21" s="51">
        <f>'Intermédiaire_Prod-Résultats'!AO44</f>
        <v>183.98734000000007</v>
      </c>
      <c r="W21" s="52">
        <f>'Intermédiaire_Prod-Résultats'!AF44</f>
        <v>609.36810000000003</v>
      </c>
      <c r="X21" s="52">
        <f>'Intermédiaire_Prod-Résultats'!AO44</f>
        <v>183.98734000000007</v>
      </c>
      <c r="Y21" s="53">
        <f>'Intermédiaire_Prod-Résultats'!BG44</f>
        <v>647.32369999999969</v>
      </c>
      <c r="Z21" s="53">
        <f>'Intermédiaire_Prod-Résultats'!BM44</f>
        <v>220.82898000000029</v>
      </c>
      <c r="AA21" s="53">
        <f>'Intermédiaire_Prod-Résultats'!BD44</f>
        <v>609.36810000000003</v>
      </c>
      <c r="AB21" s="53">
        <f>'Intermédiaire_Prod-Résultats'!BM44</f>
        <v>220.82898000000029</v>
      </c>
      <c r="AC21" s="18">
        <f t="shared" si="6"/>
        <v>399.47912000000002</v>
      </c>
    </row>
    <row r="22" spans="1:29" outlineLevel="1" x14ac:dyDescent="0.25">
      <c r="A22" s="19" t="str">
        <f t="shared" si="3"/>
        <v>SOYA - ORGE - CANOLA - ORGE</v>
      </c>
      <c r="B22" s="50">
        <f>'Intermédiaire_Prod-Résultats'!J44</f>
        <v>593.82369999999969</v>
      </c>
      <c r="C22" s="51">
        <f>'Intermédiaire_Prod-Résultats'!M44</f>
        <v>276.60920000000021</v>
      </c>
      <c r="D22" s="51">
        <f>'Intermédiaire_Prod-Résultats'!G44</f>
        <v>609.36810000000003</v>
      </c>
      <c r="E22" s="51">
        <f>'Intermédiaire_Prod-Résultats'!M44</f>
        <v>276.60920000000021</v>
      </c>
      <c r="F22" s="51">
        <f>'Intermédiaire_Prod-Résultats'!AH44</f>
        <v>620.57369999999969</v>
      </c>
      <c r="G22" s="51">
        <f>'Intermédiaire_Prod-Résultats'!AK44</f>
        <v>321.40697499999987</v>
      </c>
      <c r="H22" s="52">
        <f>'Intermédiaire_Prod-Résultats'!AE44</f>
        <v>609.36810000000003</v>
      </c>
      <c r="I22" s="52">
        <f>'Intermédiaire_Prod-Résultats'!AK44</f>
        <v>321.40697499999987</v>
      </c>
      <c r="J22" s="53">
        <f>'Intermédiaire_Prod-Résultats'!BF44</f>
        <v>647.32369999999969</v>
      </c>
      <c r="K22" s="53">
        <f>'Intermédiaire_Prod-Résultats'!BI44</f>
        <v>366.20475000000033</v>
      </c>
      <c r="L22" s="53">
        <f>'Intermédiaire_Prod-Résultats'!BC44</f>
        <v>609.36810000000003</v>
      </c>
      <c r="M22" s="53">
        <f>'Intermédiaire_Prod-Résultats'!BI44</f>
        <v>366.20475000000033</v>
      </c>
      <c r="N22" s="18">
        <f t="shared" si="4"/>
        <v>468.18893750000007</v>
      </c>
      <c r="P22" s="19" t="str">
        <f t="shared" si="5"/>
        <v>SOYA - ORGE - CANOLA - ORGE</v>
      </c>
      <c r="Q22" s="50">
        <f>'Intermédiaire_Prod-Résultats'!K44</f>
        <v>593.82369999999969</v>
      </c>
      <c r="R22" s="51">
        <f>'Intermédiaire_Prod-Résultats'!N44</f>
        <v>276.60920000000021</v>
      </c>
      <c r="S22" s="51">
        <f>'Intermédiaire_Prod-Résultats'!H44</f>
        <v>609.36810000000003</v>
      </c>
      <c r="T22" s="51">
        <f>'Intermédiaire_Prod-Résultats'!N44</f>
        <v>276.60920000000021</v>
      </c>
      <c r="U22" s="51">
        <f>'Intermédiaire_Prod-Résultats'!AI44</f>
        <v>620.57369999999969</v>
      </c>
      <c r="V22" s="51">
        <f>'Intermédiaire_Prod-Résultats'!AL44</f>
        <v>321.40697499999987</v>
      </c>
      <c r="W22" s="52">
        <f>'Intermédiaire_Prod-Résultats'!AF44</f>
        <v>609.36810000000003</v>
      </c>
      <c r="X22" s="52">
        <f>'Intermédiaire_Prod-Résultats'!AL44</f>
        <v>321.40697499999987</v>
      </c>
      <c r="Y22" s="53">
        <f>'Intermédiaire_Prod-Résultats'!BG44</f>
        <v>647.32369999999969</v>
      </c>
      <c r="Z22" s="53">
        <f>'Intermédiaire_Prod-Résultats'!BJ44</f>
        <v>366.20475000000033</v>
      </c>
      <c r="AA22" s="53">
        <f>'Intermédiaire_Prod-Résultats'!BD44</f>
        <v>609.36810000000003</v>
      </c>
      <c r="AB22" s="53">
        <f>'Intermédiaire_Prod-Résultats'!BJ44</f>
        <v>366.20475000000033</v>
      </c>
      <c r="AC22" s="18">
        <f t="shared" si="6"/>
        <v>468.18893750000007</v>
      </c>
    </row>
    <row r="25" spans="1:29" ht="18.75" x14ac:dyDescent="0.3">
      <c r="A25" s="101" t="s">
        <v>81</v>
      </c>
      <c r="B25" s="101"/>
      <c r="C25" s="101"/>
      <c r="D25" s="101"/>
      <c r="E25" s="101"/>
      <c r="F25" s="101"/>
      <c r="G25" s="101"/>
      <c r="H25" s="101"/>
      <c r="I25" s="101"/>
      <c r="J25" s="101"/>
      <c r="K25" s="101"/>
      <c r="L25" s="101"/>
      <c r="M25" s="101"/>
      <c r="N25" s="101"/>
      <c r="P25" s="111" t="s">
        <v>86</v>
      </c>
      <c r="Q25" s="111"/>
      <c r="R25" s="111"/>
      <c r="S25" s="111"/>
      <c r="T25" s="111"/>
      <c r="U25" s="111"/>
      <c r="V25" s="111"/>
      <c r="W25" s="111"/>
      <c r="X25" s="111"/>
      <c r="Y25" s="111"/>
      <c r="Z25" s="111"/>
      <c r="AA25" s="111"/>
      <c r="AB25" s="111"/>
      <c r="AC25" s="111"/>
    </row>
    <row r="26" spans="1:29" ht="15.75" x14ac:dyDescent="0.25">
      <c r="A26" s="102" t="s">
        <v>85</v>
      </c>
      <c r="B26" s="102"/>
      <c r="C26" s="102"/>
      <c r="D26" s="102"/>
      <c r="E26" s="102"/>
      <c r="F26" s="102"/>
      <c r="G26" s="102"/>
      <c r="H26" s="102"/>
      <c r="I26" s="102"/>
      <c r="J26" s="102"/>
      <c r="K26" s="102"/>
      <c r="L26" s="102"/>
      <c r="M26" s="102"/>
      <c r="N26" s="102"/>
      <c r="P26" s="112" t="s">
        <v>84</v>
      </c>
      <c r="Q26" s="112"/>
      <c r="R26" s="112"/>
      <c r="S26" s="112"/>
      <c r="T26" s="112"/>
      <c r="U26" s="112"/>
      <c r="V26" s="112"/>
      <c r="W26" s="112"/>
      <c r="X26" s="112"/>
      <c r="Y26" s="112"/>
      <c r="Z26" s="112"/>
      <c r="AA26" s="112"/>
      <c r="AB26" s="112"/>
      <c r="AC26" s="112"/>
    </row>
    <row r="27" spans="1:29" ht="15.75" outlineLevel="1" x14ac:dyDescent="0.25">
      <c r="A27" s="14"/>
      <c r="B27" s="100" t="s">
        <v>189</v>
      </c>
      <c r="C27" s="100"/>
      <c r="D27" s="100"/>
      <c r="E27" s="100"/>
      <c r="F27" s="100" t="s">
        <v>190</v>
      </c>
      <c r="G27" s="100"/>
      <c r="H27" s="100"/>
      <c r="I27" s="100"/>
      <c r="J27" s="100" t="s">
        <v>191</v>
      </c>
      <c r="K27" s="100"/>
      <c r="L27" s="100"/>
      <c r="M27" s="100"/>
      <c r="N27" s="14"/>
      <c r="P27" s="14"/>
      <c r="Q27" s="100" t="s">
        <v>189</v>
      </c>
      <c r="R27" s="100"/>
      <c r="S27" s="100"/>
      <c r="T27" s="100"/>
      <c r="U27" s="100" t="s">
        <v>190</v>
      </c>
      <c r="V27" s="100"/>
      <c r="W27" s="100"/>
      <c r="X27" s="100"/>
      <c r="Y27" s="100" t="s">
        <v>191</v>
      </c>
      <c r="Z27" s="100"/>
      <c r="AA27" s="100"/>
      <c r="AB27" s="100"/>
      <c r="AC27" s="14"/>
    </row>
    <row r="28" spans="1:29" outlineLevel="1" x14ac:dyDescent="0.25">
      <c r="A28" s="70" t="s">
        <v>205</v>
      </c>
      <c r="B28" s="20" t="s">
        <v>75</v>
      </c>
      <c r="C28" s="15" t="s">
        <v>76</v>
      </c>
      <c r="D28" s="15" t="s">
        <v>77</v>
      </c>
      <c r="E28" s="15" t="s">
        <v>78</v>
      </c>
      <c r="F28" s="15" t="s">
        <v>79</v>
      </c>
      <c r="G28" s="15" t="s">
        <v>80</v>
      </c>
      <c r="H28" s="15" t="s">
        <v>157</v>
      </c>
      <c r="I28" s="15" t="s">
        <v>158</v>
      </c>
      <c r="J28" s="15" t="s">
        <v>159</v>
      </c>
      <c r="K28" s="15" t="s">
        <v>160</v>
      </c>
      <c r="L28" s="15" t="s">
        <v>171</v>
      </c>
      <c r="M28" s="15" t="s">
        <v>172</v>
      </c>
      <c r="N28" s="16" t="s">
        <v>83</v>
      </c>
      <c r="P28" s="73" t="s">
        <v>205</v>
      </c>
      <c r="Q28" s="20" t="s">
        <v>75</v>
      </c>
      <c r="R28" s="15" t="s">
        <v>76</v>
      </c>
      <c r="S28" s="15" t="s">
        <v>77</v>
      </c>
      <c r="T28" s="15" t="s">
        <v>78</v>
      </c>
      <c r="U28" s="15" t="s">
        <v>79</v>
      </c>
      <c r="V28" s="15" t="s">
        <v>80</v>
      </c>
      <c r="W28" s="15" t="s">
        <v>157</v>
      </c>
      <c r="X28" s="15" t="s">
        <v>158</v>
      </c>
      <c r="Y28" s="15" t="s">
        <v>159</v>
      </c>
      <c r="Z28" s="15" t="s">
        <v>160</v>
      </c>
      <c r="AA28" s="15" t="s">
        <v>171</v>
      </c>
      <c r="AB28" s="15" t="s">
        <v>172</v>
      </c>
      <c r="AC28" s="16" t="s">
        <v>83</v>
      </c>
    </row>
    <row r="29" spans="1:29" outlineLevel="1" x14ac:dyDescent="0.25">
      <c r="A29" s="19" t="str">
        <f t="shared" ref="A29:A34" si="7">A17</f>
        <v>MG - SOYA - BLÉ DE PRINTEMPS PANIFIABLE</v>
      </c>
      <c r="B29" s="21">
        <f>'Intermédiaire_Prod-Résultats'!D51</f>
        <v>118.78950000000043</v>
      </c>
      <c r="C29" s="17">
        <f>'Intermédiaire_Prod-Résultats'!J51</f>
        <v>137.33369999999974</v>
      </c>
      <c r="D29" s="17">
        <f>'Intermédiaire_Prod-Résultats'!V51</f>
        <v>60.917799999999772</v>
      </c>
      <c r="E29" s="17">
        <f>'Intermédiaire_Prod-Résultats'!AB51</f>
        <v>243.25924100000009</v>
      </c>
      <c r="F29" s="17">
        <f>'Intermédiaire_Prod-Résultats'!AH51</f>
        <v>164.08369999999974</v>
      </c>
      <c r="G29" s="17">
        <f>'Intermédiaire_Prod-Résultats'!AT51</f>
        <v>120.76340999999985</v>
      </c>
      <c r="H29" s="39">
        <f>'Intermédiaire_Prod-Résultats'!AZ51</f>
        <v>367.72898200000043</v>
      </c>
      <c r="I29" s="39">
        <f>'Intermédiaire_Prod-Résultats'!BF51</f>
        <v>190.83369999999974</v>
      </c>
      <c r="J29" s="40">
        <f>'Intermédiaire_Prod-Résultats'!BR51</f>
        <v>180.60902000000016</v>
      </c>
      <c r="K29" s="40" t="s">
        <v>170</v>
      </c>
      <c r="L29" s="40" t="s">
        <v>170</v>
      </c>
      <c r="M29" s="40" t="s">
        <v>170</v>
      </c>
      <c r="N29" s="18">
        <f t="shared" ref="N29:N34" si="8">AVERAGE(B29:M29)</f>
        <v>176.03545033333333</v>
      </c>
      <c r="P29" s="19" t="str">
        <f t="shared" ref="P29:P34" si="9">P17</f>
        <v>MG - SOYA - BLÉ DE PRINTEMPS PANIFIABLE</v>
      </c>
      <c r="Q29" s="21">
        <f>'Intermédiaire_Prod-Résultats'!E51</f>
        <v>118.78950000000043</v>
      </c>
      <c r="R29" s="17">
        <f>'Intermédiaire_Prod-Résultats'!K51</f>
        <v>137.33369999999974</v>
      </c>
      <c r="S29" s="17">
        <f>'Intermédiaire_Prod-Résultats'!W51</f>
        <v>60.917799999999772</v>
      </c>
      <c r="T29" s="17">
        <f>'Intermédiaire_Prod-Résultats'!AC51</f>
        <v>243.25924100000009</v>
      </c>
      <c r="U29" s="17">
        <f>'Intermédiaire_Prod-Résultats'!AI51</f>
        <v>164.08369999999974</v>
      </c>
      <c r="V29" s="17">
        <f>'Intermédiaire_Prod-Résultats'!AU51</f>
        <v>120.76340999999985</v>
      </c>
      <c r="W29" s="39">
        <f>'Intermédiaire_Prod-Résultats'!BA51</f>
        <v>367.72898200000043</v>
      </c>
      <c r="X29" s="39">
        <f>'Intermédiaire_Prod-Résultats'!BG51</f>
        <v>190.83369999999974</v>
      </c>
      <c r="Y29" s="40">
        <f>'Intermédiaire_Prod-Résultats'!BS51</f>
        <v>180.60902000000016</v>
      </c>
      <c r="Z29" s="40" t="s">
        <v>170</v>
      </c>
      <c r="AA29" s="40" t="s">
        <v>170</v>
      </c>
      <c r="AB29" s="40" t="s">
        <v>170</v>
      </c>
      <c r="AC29" s="18">
        <f>AVERAGE(Q29:AB29)</f>
        <v>176.03545033333333</v>
      </c>
    </row>
    <row r="30" spans="1:29" outlineLevel="1" x14ac:dyDescent="0.25">
      <c r="A30" s="19" t="str">
        <f t="shared" si="7"/>
        <v>MG - SOYA - BLÉ D'AUTOMNE PANIFIABLE</v>
      </c>
      <c r="B30" s="50">
        <f>'Intermédiaire_Prod-Résultats'!D51</f>
        <v>118.78950000000043</v>
      </c>
      <c r="C30" s="51">
        <f>'Intermédiaire_Prod-Résultats'!J51</f>
        <v>137.33369999999974</v>
      </c>
      <c r="D30" s="51">
        <f>'Intermédiaire_Prod-Résultats'!S51</f>
        <v>392.33369999999996</v>
      </c>
      <c r="E30" s="51">
        <f>'Intermédiaire_Prod-Résultats'!AB51</f>
        <v>243.25924100000009</v>
      </c>
      <c r="F30" s="51">
        <f>'Intermédiaire_Prod-Résultats'!AH51</f>
        <v>164.08369999999974</v>
      </c>
      <c r="G30" s="51">
        <f>'Intermédiaire_Prod-Résultats'!AQ51</f>
        <v>468.44435000000004</v>
      </c>
      <c r="H30" s="52">
        <f>'Intermédiaire_Prod-Résultats'!AZ51</f>
        <v>367.72898200000043</v>
      </c>
      <c r="I30" s="52">
        <f>'Intermédiaire_Prod-Résultats'!BF51</f>
        <v>190.83369999999974</v>
      </c>
      <c r="J30" s="53">
        <f>'Intermédiaire_Prod-Résultats'!BO51</f>
        <v>544.55500000000029</v>
      </c>
      <c r="K30" s="53" t="s">
        <v>170</v>
      </c>
      <c r="L30" s="53" t="s">
        <v>170</v>
      </c>
      <c r="M30" s="53" t="s">
        <v>170</v>
      </c>
      <c r="N30" s="18">
        <f t="shared" si="8"/>
        <v>291.92909700000001</v>
      </c>
      <c r="P30" s="19" t="str">
        <f t="shared" si="9"/>
        <v>MG - SOYA - BLÉ D'AUTOMNE PANIFIABLE</v>
      </c>
      <c r="Q30" s="50">
        <f>'Intermédiaire_Prod-Résultats'!E51</f>
        <v>118.78950000000043</v>
      </c>
      <c r="R30" s="51">
        <f>'Intermédiaire_Prod-Résultats'!K51</f>
        <v>137.33369999999974</v>
      </c>
      <c r="S30" s="51">
        <f>'Intermédiaire_Prod-Résultats'!T51</f>
        <v>392.33369999999996</v>
      </c>
      <c r="T30" s="51">
        <f>'Intermédiaire_Prod-Résultats'!AC51</f>
        <v>243.25924100000009</v>
      </c>
      <c r="U30" s="51">
        <f>'Intermédiaire_Prod-Résultats'!AI51</f>
        <v>164.08369999999974</v>
      </c>
      <c r="V30" s="51">
        <f>'Intermédiaire_Prod-Résultats'!AR51</f>
        <v>468.44435000000004</v>
      </c>
      <c r="W30" s="52">
        <f>'Intermédiaire_Prod-Résultats'!BA51</f>
        <v>367.72898200000043</v>
      </c>
      <c r="X30" s="52">
        <f>'Intermédiaire_Prod-Résultats'!BG51</f>
        <v>190.83369999999974</v>
      </c>
      <c r="Y30" s="53">
        <f>'Intermédiaire_Prod-Résultats'!BP51</f>
        <v>544.55500000000029</v>
      </c>
      <c r="Z30" s="53" t="s">
        <v>170</v>
      </c>
      <c r="AA30" s="53" t="s">
        <v>170</v>
      </c>
      <c r="AB30" s="53" t="s">
        <v>170</v>
      </c>
      <c r="AC30" s="18">
        <f t="shared" ref="AC30:AC34" si="10">AVERAGE(Q30:AB30)</f>
        <v>291.92909700000001</v>
      </c>
    </row>
    <row r="31" spans="1:29" outlineLevel="1" x14ac:dyDescent="0.25">
      <c r="A31" s="19" t="str">
        <f t="shared" si="7"/>
        <v>SOYA - BLÉ D'AUTOMNE PANIFIABLE - CANOLA - BLÉ D'AUTOMNE PANIFIABLE</v>
      </c>
      <c r="B31" s="50">
        <f>'Intermédiaire_Prod-Résultats'!J51</f>
        <v>137.33369999999974</v>
      </c>
      <c r="C31" s="51">
        <f>'Intermédiaire_Prod-Résultats'!S51</f>
        <v>392.33369999999996</v>
      </c>
      <c r="D31" s="51">
        <f>'Intermédiaire_Prod-Résultats'!G51</f>
        <v>324.52810000000005</v>
      </c>
      <c r="E31" s="51">
        <f>'Intermédiaire_Prod-Résultats'!S51</f>
        <v>392.33369999999996</v>
      </c>
      <c r="F31" s="51">
        <f>'Intermédiaire_Prod-Résultats'!AH51</f>
        <v>164.08369999999974</v>
      </c>
      <c r="G31" s="51">
        <f>'Intermédiaire_Prod-Résultats'!AQ51</f>
        <v>468.44435000000004</v>
      </c>
      <c r="H31" s="52">
        <f>'Intermédiaire_Prod-Résultats'!AE51</f>
        <v>324.52810000000005</v>
      </c>
      <c r="I31" s="52">
        <f>'Intermédiaire_Prod-Résultats'!AQ51</f>
        <v>468.44435000000004</v>
      </c>
      <c r="J31" s="53">
        <f>'Intermédiaire_Prod-Résultats'!BF51</f>
        <v>190.83369999999974</v>
      </c>
      <c r="K31" s="53">
        <f>'Intermédiaire_Prod-Résultats'!BO51</f>
        <v>544.55500000000029</v>
      </c>
      <c r="L31" s="53">
        <f>'Intermédiaire_Prod-Résultats'!BC51</f>
        <v>324.52810000000005</v>
      </c>
      <c r="M31" s="53">
        <f>'Intermédiaire_Prod-Résultats'!BO51</f>
        <v>544.55500000000029</v>
      </c>
      <c r="N31" s="18">
        <f t="shared" si="8"/>
        <v>356.37512500000003</v>
      </c>
      <c r="P31" s="19" t="str">
        <f t="shared" si="9"/>
        <v>SOYA - BLÉ D'AUTOMNE PANIFIABLE - CANOLA - BLÉ D'AUTOMNE PANIFIABLE</v>
      </c>
      <c r="Q31" s="50">
        <f>'Intermédiaire_Prod-Résultats'!K51</f>
        <v>137.33369999999974</v>
      </c>
      <c r="R31" s="51">
        <f>'Intermédiaire_Prod-Résultats'!T51</f>
        <v>392.33369999999996</v>
      </c>
      <c r="S31" s="51">
        <f>'Intermédiaire_Prod-Résultats'!H51</f>
        <v>324.52810000000005</v>
      </c>
      <c r="T31" s="51">
        <f>'Intermédiaire_Prod-Résultats'!T51</f>
        <v>392.33369999999996</v>
      </c>
      <c r="U31" s="51">
        <f>'Intermédiaire_Prod-Résultats'!AI51</f>
        <v>164.08369999999974</v>
      </c>
      <c r="V31" s="51">
        <f>'Intermédiaire_Prod-Résultats'!AR51</f>
        <v>468.44435000000004</v>
      </c>
      <c r="W31" s="52">
        <f>'Intermédiaire_Prod-Résultats'!AF51</f>
        <v>324.52810000000005</v>
      </c>
      <c r="X31" s="52">
        <f>'Intermédiaire_Prod-Résultats'!AR51</f>
        <v>468.44435000000004</v>
      </c>
      <c r="Y31" s="53">
        <f>'Intermédiaire_Prod-Résultats'!BG51</f>
        <v>190.83369999999974</v>
      </c>
      <c r="Z31" s="53">
        <f>'Intermédiaire_Prod-Résultats'!BP51</f>
        <v>544.55500000000029</v>
      </c>
      <c r="AA31" s="53">
        <f>'Intermédiaire_Prod-Résultats'!BD51</f>
        <v>324.52810000000005</v>
      </c>
      <c r="AB31" s="53">
        <f>'Intermédiaire_Prod-Résultats'!BP51</f>
        <v>544.55500000000029</v>
      </c>
      <c r="AC31" s="18">
        <f t="shared" si="10"/>
        <v>356.37512500000003</v>
      </c>
    </row>
    <row r="32" spans="1:29" outlineLevel="1" x14ac:dyDescent="0.25">
      <c r="A32" s="19" t="str">
        <f t="shared" si="7"/>
        <v>SOYA - BLÉ DE PRINTEMPS PANIFIABLE - CANOLA - BLÉ DE PRINTEMPS PANIFIABLE</v>
      </c>
      <c r="B32" s="50">
        <f>'Intermédiaire_Prod-Résultats'!J51</f>
        <v>137.33369999999974</v>
      </c>
      <c r="C32" s="51">
        <f>'Intermédiaire_Prod-Résultats'!V51</f>
        <v>60.917799999999772</v>
      </c>
      <c r="D32" s="51">
        <f>'Intermédiaire_Prod-Résultats'!G51</f>
        <v>324.52810000000005</v>
      </c>
      <c r="E32" s="51">
        <f>'Intermédiaire_Prod-Résultats'!V51</f>
        <v>60.917799999999772</v>
      </c>
      <c r="F32" s="51">
        <f>'Intermédiaire_Prod-Résultats'!AH51</f>
        <v>164.08369999999974</v>
      </c>
      <c r="G32" s="51">
        <f>'Intermédiaire_Prod-Résultats'!AT51</f>
        <v>120.76340999999985</v>
      </c>
      <c r="H32" s="52">
        <f>'Intermédiaire_Prod-Résultats'!AE51</f>
        <v>324.52810000000005</v>
      </c>
      <c r="I32" s="52">
        <f>'Intermédiaire_Prod-Résultats'!AT51</f>
        <v>120.76340999999985</v>
      </c>
      <c r="J32" s="53">
        <f>'Intermédiaire_Prod-Résultats'!BF51</f>
        <v>190.83369999999974</v>
      </c>
      <c r="K32" s="53">
        <f>'Intermédiaire_Prod-Résultats'!BR51</f>
        <v>180.60902000000016</v>
      </c>
      <c r="L32" s="53">
        <f>'Intermédiaire_Prod-Résultats'!BC51</f>
        <v>324.52810000000005</v>
      </c>
      <c r="M32" s="53">
        <f>'Intermédiaire_Prod-Résultats'!BR51</f>
        <v>180.60902000000016</v>
      </c>
      <c r="N32" s="18">
        <f t="shared" si="8"/>
        <v>182.5346549999999</v>
      </c>
      <c r="P32" s="19" t="str">
        <f t="shared" si="9"/>
        <v>SOYA - BLÉ DE PRINTEMPS PANIFIABLE - CANOLA - BLÉ DE PRINTEMPS PANIFIABLE</v>
      </c>
      <c r="Q32" s="50">
        <f>'Intermédiaire_Prod-Résultats'!K51</f>
        <v>137.33369999999974</v>
      </c>
      <c r="R32" s="51">
        <f>'Intermédiaire_Prod-Résultats'!W51</f>
        <v>60.917799999999772</v>
      </c>
      <c r="S32" s="51">
        <f>'Intermédiaire_Prod-Résultats'!BD51</f>
        <v>324.52810000000005</v>
      </c>
      <c r="T32" s="51">
        <f>'Intermédiaire_Prod-Résultats'!W51</f>
        <v>60.917799999999772</v>
      </c>
      <c r="U32" s="51">
        <f>'Intermédiaire_Prod-Résultats'!AI51</f>
        <v>164.08369999999974</v>
      </c>
      <c r="V32" s="51">
        <f>'Intermédiaire_Prod-Résultats'!AU51</f>
        <v>120.76340999999985</v>
      </c>
      <c r="W32" s="52">
        <f>'Intermédiaire_Prod-Résultats'!BD51</f>
        <v>324.52810000000005</v>
      </c>
      <c r="X32" s="52">
        <f>'Intermédiaire_Prod-Résultats'!AU51</f>
        <v>120.76340999999985</v>
      </c>
      <c r="Y32" s="53">
        <f>'Intermédiaire_Prod-Résultats'!BG51</f>
        <v>190.83369999999974</v>
      </c>
      <c r="Z32" s="53">
        <f>'Intermédiaire_Prod-Résultats'!BS51</f>
        <v>180.60902000000016</v>
      </c>
      <c r="AA32" s="53">
        <f>'Intermédiaire_Prod-Résultats'!BD51</f>
        <v>324.52810000000005</v>
      </c>
      <c r="AB32" s="53">
        <f>'Intermédiaire_Prod-Résultats'!BS51</f>
        <v>180.60902000000016</v>
      </c>
      <c r="AC32" s="18">
        <f t="shared" si="10"/>
        <v>182.5346549999999</v>
      </c>
    </row>
    <row r="33" spans="1:29" outlineLevel="1" x14ac:dyDescent="0.25">
      <c r="A33" s="19" t="str">
        <f t="shared" si="7"/>
        <v>SOYA - AVOINE - CANOLA - AVOINE</v>
      </c>
      <c r="B33" s="50">
        <f>'Intermédiaire_Prod-Résultats'!J51</f>
        <v>137.33369999999974</v>
      </c>
      <c r="C33" s="51">
        <f>'Intermédiaire_Prod-Résultats'!P51</f>
        <v>-94.194299999999799</v>
      </c>
      <c r="D33" s="51">
        <f>'Intermédiaire_Prod-Résultats'!G51</f>
        <v>324.52810000000005</v>
      </c>
      <c r="E33" s="51">
        <f>'Intermédiaire_Prod-Résultats'!P51</f>
        <v>-94.194299999999799</v>
      </c>
      <c r="F33" s="51">
        <f>'Intermédiaire_Prod-Résultats'!AH51</f>
        <v>164.08369999999974</v>
      </c>
      <c r="G33" s="51">
        <f>'Intermédiaire_Prod-Résultats'!AN51</f>
        <v>-57.352659999999929</v>
      </c>
      <c r="H33" s="52">
        <f>'Intermédiaire_Prod-Résultats'!AE51</f>
        <v>324.52810000000005</v>
      </c>
      <c r="I33" s="52">
        <f>'Intermédiaire_Prod-Résultats'!AN51</f>
        <v>-57.352659999999929</v>
      </c>
      <c r="J33" s="53">
        <f>'Intermédiaire_Prod-Résultats'!BF51</f>
        <v>190.83369999999974</v>
      </c>
      <c r="K33" s="53">
        <f>'Intermédiaire_Prod-Résultats'!BL51</f>
        <v>-20.511019999999718</v>
      </c>
      <c r="L33" s="53">
        <f>'Intermédiaire_Prod-Résultats'!BC51</f>
        <v>324.52810000000005</v>
      </c>
      <c r="M33" s="53">
        <f>'Intermédiaire_Prod-Résultats'!BL51</f>
        <v>-20.511019999999718</v>
      </c>
      <c r="N33" s="18">
        <f t="shared" si="8"/>
        <v>93.47662000000004</v>
      </c>
      <c r="P33" s="19" t="str">
        <f t="shared" si="9"/>
        <v>SOYA - AVOINE - CANOLA - AVOINE</v>
      </c>
      <c r="Q33" s="50">
        <f>'Intermédiaire_Prod-Résultats'!K51</f>
        <v>137.33369999999974</v>
      </c>
      <c r="R33" s="51">
        <f>'Intermédiaire_Prod-Résultats'!Q51</f>
        <v>-94.194299999999799</v>
      </c>
      <c r="S33" s="51">
        <f>'Intermédiaire_Prod-Résultats'!H51</f>
        <v>324.52810000000005</v>
      </c>
      <c r="T33" s="51">
        <f>'Intermédiaire_Prod-Résultats'!Q51</f>
        <v>-94.194299999999799</v>
      </c>
      <c r="U33" s="51">
        <f>'Intermédiaire_Prod-Résultats'!AI51</f>
        <v>164.08369999999974</v>
      </c>
      <c r="V33" s="51">
        <f>'Intermédiaire_Prod-Résultats'!AO51</f>
        <v>-57.352659999999929</v>
      </c>
      <c r="W33" s="52">
        <f>'Intermédiaire_Prod-Résultats'!AF51</f>
        <v>324.52810000000005</v>
      </c>
      <c r="X33" s="52">
        <f>'Intermédiaire_Prod-Résultats'!AO51</f>
        <v>-57.352659999999929</v>
      </c>
      <c r="Y33" s="53">
        <f>'Intermédiaire_Prod-Résultats'!BG51</f>
        <v>190.83369999999974</v>
      </c>
      <c r="Z33" s="53">
        <f>'Intermédiaire_Prod-Résultats'!BM51</f>
        <v>-20.511019999999718</v>
      </c>
      <c r="AA33" s="53">
        <f>'Intermédiaire_Prod-Résultats'!BD51</f>
        <v>324.52810000000005</v>
      </c>
      <c r="AB33" s="53">
        <f>'Intermédiaire_Prod-Résultats'!BM51</f>
        <v>-20.511019999999718</v>
      </c>
      <c r="AC33" s="18">
        <f t="shared" si="10"/>
        <v>93.47662000000004</v>
      </c>
    </row>
    <row r="34" spans="1:29" outlineLevel="1" x14ac:dyDescent="0.25">
      <c r="A34" s="19" t="str">
        <f t="shared" si="7"/>
        <v>SOYA - ORGE - CANOLA - ORGE</v>
      </c>
      <c r="B34" s="50">
        <f>'Intermédiaire_Prod-Résultats'!J51</f>
        <v>137.33369999999974</v>
      </c>
      <c r="C34" s="51">
        <f>'Intermédiaire_Prod-Résultats'!M51</f>
        <v>-66.830799999999783</v>
      </c>
      <c r="D34" s="51">
        <f>'Intermédiaire_Prod-Résultats'!G51</f>
        <v>324.52810000000005</v>
      </c>
      <c r="E34" s="51">
        <f>'Intermédiaire_Prod-Résultats'!M51</f>
        <v>-66.830799999999783</v>
      </c>
      <c r="F34" s="51">
        <f>'Intermédiaire_Prod-Résultats'!AH51</f>
        <v>164.08369999999974</v>
      </c>
      <c r="G34" s="51">
        <f>'Intermédiaire_Prod-Résultats'!AK51</f>
        <v>-22.033025000000123</v>
      </c>
      <c r="H34" s="52">
        <f>'Intermédiaire_Prod-Résultats'!AE51</f>
        <v>324.52810000000005</v>
      </c>
      <c r="I34" s="52">
        <f>'Intermédiaire_Prod-Résultats'!AK51</f>
        <v>-22.033025000000123</v>
      </c>
      <c r="J34" s="53">
        <f>'Intermédiaire_Prod-Résultats'!BF51</f>
        <v>190.83369999999974</v>
      </c>
      <c r="K34" s="53">
        <f>'Intermédiaire_Prod-Résultats'!BI51</f>
        <v>22.764750000000333</v>
      </c>
      <c r="L34" s="53">
        <f>'Intermédiaire_Prod-Résultats'!BC51</f>
        <v>324.52810000000005</v>
      </c>
      <c r="M34" s="53">
        <f>'Intermédiaire_Prod-Résultats'!BI51</f>
        <v>22.764750000000333</v>
      </c>
      <c r="N34" s="18">
        <f t="shared" si="8"/>
        <v>111.1364375</v>
      </c>
      <c r="P34" s="19" t="str">
        <f t="shared" si="9"/>
        <v>SOYA - ORGE - CANOLA - ORGE</v>
      </c>
      <c r="Q34" s="50">
        <f>'Intermédiaire_Prod-Résultats'!K51</f>
        <v>137.33369999999974</v>
      </c>
      <c r="R34" s="51">
        <f>'Intermédiaire_Prod-Résultats'!N51</f>
        <v>-66.830799999999783</v>
      </c>
      <c r="S34" s="51">
        <f>'Intermédiaire_Prod-Résultats'!H51</f>
        <v>324.52810000000005</v>
      </c>
      <c r="T34" s="51">
        <f>'Intermédiaire_Prod-Résultats'!N51</f>
        <v>-66.830799999999783</v>
      </c>
      <c r="U34" s="51">
        <f>'Intermédiaire_Prod-Résultats'!AI51</f>
        <v>164.08369999999974</v>
      </c>
      <c r="V34" s="51">
        <f>'Intermédiaire_Prod-Résultats'!AL51</f>
        <v>-22.033025000000123</v>
      </c>
      <c r="W34" s="52">
        <f>'Intermédiaire_Prod-Résultats'!AF51</f>
        <v>324.52810000000005</v>
      </c>
      <c r="X34" s="52">
        <f>'Intermédiaire_Prod-Résultats'!AL51</f>
        <v>-22.033025000000123</v>
      </c>
      <c r="Y34" s="53">
        <f>'Intermédiaire_Prod-Résultats'!BG51</f>
        <v>190.83369999999974</v>
      </c>
      <c r="Z34" s="53">
        <f>'Intermédiaire_Prod-Résultats'!BJ51</f>
        <v>22.764750000000333</v>
      </c>
      <c r="AA34" s="53">
        <f>'Intermédiaire_Prod-Résultats'!BD51</f>
        <v>324.52810000000005</v>
      </c>
      <c r="AB34" s="53">
        <f>'Intermédiaire_Prod-Résultats'!BJ51</f>
        <v>22.764750000000333</v>
      </c>
      <c r="AC34" s="18">
        <f t="shared" si="10"/>
        <v>111.1364375</v>
      </c>
    </row>
  </sheetData>
  <mergeCells count="30">
    <mergeCell ref="A25:N25"/>
    <mergeCell ref="A26:N26"/>
    <mergeCell ref="P2:AC2"/>
    <mergeCell ref="P1:AC1"/>
    <mergeCell ref="P14:AC14"/>
    <mergeCell ref="P13:AC13"/>
    <mergeCell ref="A1:N1"/>
    <mergeCell ref="A2:N2"/>
    <mergeCell ref="A13:N13"/>
    <mergeCell ref="A14:N14"/>
    <mergeCell ref="P25:AC25"/>
    <mergeCell ref="P26:AC26"/>
    <mergeCell ref="B3:E3"/>
    <mergeCell ref="F3:I3"/>
    <mergeCell ref="J3:M3"/>
    <mergeCell ref="Q3:T3"/>
    <mergeCell ref="U3:X3"/>
    <mergeCell ref="Y3:AB3"/>
    <mergeCell ref="B15:E15"/>
    <mergeCell ref="F15:I15"/>
    <mergeCell ref="J15:M15"/>
    <mergeCell ref="Q15:T15"/>
    <mergeCell ref="U15:X15"/>
    <mergeCell ref="Y15:AB15"/>
    <mergeCell ref="Y27:AB27"/>
    <mergeCell ref="B27:E27"/>
    <mergeCell ref="F27:I27"/>
    <mergeCell ref="J27:M27"/>
    <mergeCell ref="Q27:T27"/>
    <mergeCell ref="U27:X27"/>
  </mergeCells>
  <phoneticPr fontId="6" type="noConversion"/>
  <pageMargins left="0.7" right="0.7" top="0.75" bottom="0.75" header="0.3" footer="0.3"/>
  <pageSetup orientation="portrait" r:id="rId1"/>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CF00B9-6740-47CF-AB9E-2E2A2575B8D1}">
  <sheetPr>
    <tabColor theme="5" tint="0.79998168889431442"/>
  </sheetPr>
  <dimension ref="A1:U61"/>
  <sheetViews>
    <sheetView tabSelected="1" topLeftCell="C23" zoomScale="130" zoomScaleNormal="130" workbookViewId="0">
      <selection sqref="A1:E1"/>
    </sheetView>
  </sheetViews>
  <sheetFormatPr baseColWidth="10" defaultColWidth="10.85546875" defaultRowHeight="15" x14ac:dyDescent="0.25"/>
  <cols>
    <col min="1" max="1" width="69.85546875" customWidth="1"/>
    <col min="5" max="5" width="15.42578125" customWidth="1"/>
    <col min="17" max="17" width="70.42578125" customWidth="1"/>
  </cols>
  <sheetData>
    <row r="1" spans="1:21" x14ac:dyDescent="0.25">
      <c r="A1" s="113" t="s">
        <v>210</v>
      </c>
      <c r="B1" s="113"/>
      <c r="C1" s="113"/>
      <c r="D1" s="113"/>
      <c r="E1" s="113"/>
      <c r="Q1" s="118" t="s">
        <v>213</v>
      </c>
      <c r="R1" s="118"/>
      <c r="S1" s="118"/>
      <c r="T1" s="118"/>
      <c r="U1" s="118"/>
    </row>
    <row r="2" spans="1:21" ht="60" x14ac:dyDescent="0.25">
      <c r="A2" s="68" t="s">
        <v>205</v>
      </c>
      <c r="B2" s="74" t="s">
        <v>206</v>
      </c>
      <c r="C2" s="75" t="s">
        <v>207</v>
      </c>
      <c r="D2" s="76" t="s">
        <v>208</v>
      </c>
      <c r="E2" s="76" t="s">
        <v>209</v>
      </c>
      <c r="Q2" s="87" t="s">
        <v>205</v>
      </c>
      <c r="R2" s="74" t="s">
        <v>206</v>
      </c>
      <c r="S2" s="75" t="s">
        <v>207</v>
      </c>
      <c r="T2" s="76" t="s">
        <v>208</v>
      </c>
      <c r="U2" s="76" t="s">
        <v>209</v>
      </c>
    </row>
    <row r="3" spans="1:21" x14ac:dyDescent="0.25">
      <c r="A3" s="80" t="str">
        <f>'Résultats détaillés'!A5</f>
        <v>MG - SOYA - BLÉ DE PRINTEMPS PANIFIABLE</v>
      </c>
      <c r="B3" s="81">
        <f>AVERAGE('Résultats détaillés'!B5:D5)</f>
        <v>753.6303333333334</v>
      </c>
      <c r="C3" s="81">
        <f>AVERAGE('Résultats détaillés'!E5:G5)</f>
        <v>823.98545033333323</v>
      </c>
      <c r="D3" s="82">
        <f>AVERAGE('Résultats détaillés'!H5:J5)</f>
        <v>894.3405673333333</v>
      </c>
      <c r="E3" s="82">
        <f>AVERAGE(B3:D3)</f>
        <v>823.98545033333323</v>
      </c>
      <c r="Q3" s="80" t="str">
        <f>'Résultats détaillés'!P5</f>
        <v>MG - SOYA - BLÉ DE PRINTEMPS PANIFIABLE</v>
      </c>
      <c r="R3" s="81">
        <f>AVERAGE('Résultats détaillés'!Q5:S5)</f>
        <v>753.6303333333334</v>
      </c>
      <c r="S3" s="81">
        <f>AVERAGE('Résultats détaillés'!T5:V5)</f>
        <v>823.98545033333323</v>
      </c>
      <c r="T3" s="82">
        <f>AVERAGE('Résultats détaillés'!W5:Y5)</f>
        <v>894.3405673333333</v>
      </c>
      <c r="U3" s="82">
        <f>AVERAGE(R3:T3)</f>
        <v>823.98545033333323</v>
      </c>
    </row>
    <row r="4" spans="1:21" x14ac:dyDescent="0.25">
      <c r="A4" s="77" t="str">
        <f>'Résultats détaillés'!A6</f>
        <v>MG - SOYA - BLÉ D'AUTOMNE PANIFIABLE</v>
      </c>
      <c r="B4" s="83">
        <f>AVERAGE('Résultats détaillés'!B6:D6)</f>
        <v>864.10230000000013</v>
      </c>
      <c r="C4" s="83">
        <f>AVERAGE('Résultats détaillés'!E6:G6)</f>
        <v>939.879097</v>
      </c>
      <c r="D4" s="84">
        <f>AVERAGE('Résultats détaillés'!H6:J6)</f>
        <v>1015.6558940000001</v>
      </c>
      <c r="E4" s="84">
        <f t="shared" ref="E4:E8" si="0">AVERAGE(B4:D4)</f>
        <v>939.879097</v>
      </c>
      <c r="Q4" s="77" t="str">
        <f>'Résultats détaillés'!P6</f>
        <v>MG - SOYA - BLÉ D'AUTOMNE PANIFIABLE</v>
      </c>
      <c r="R4" s="83">
        <f>AVERAGE('Résultats détaillés'!Q6:S6)</f>
        <v>864.10230000000013</v>
      </c>
      <c r="S4" s="83">
        <f>AVERAGE('Résultats détaillés'!T6:V6)</f>
        <v>939.879097</v>
      </c>
      <c r="T4" s="84">
        <f>AVERAGE('Résultats détaillés'!W6:Y6)</f>
        <v>1015.6558940000001</v>
      </c>
      <c r="U4" s="84">
        <f t="shared" ref="U4:U8" si="1">AVERAGE(R4:T4)</f>
        <v>939.879097</v>
      </c>
    </row>
    <row r="5" spans="1:21" x14ac:dyDescent="0.25">
      <c r="A5" s="78" t="str">
        <f>'Résultats détaillés'!A7</f>
        <v>SOYA - BLÉ D'AUTOMNE PANIFIABLE - CANOLA - BLÉ D'AUTOMNE PANIFIABLE</v>
      </c>
      <c r="B5" s="83">
        <f>AVERAGE('Résultats détaillés'!B7:E7)</f>
        <v>811.57479999999987</v>
      </c>
      <c r="C5" s="83">
        <f>AVERAGE('Résultats détaillés'!F7:I7)</f>
        <v>856.31762499999991</v>
      </c>
      <c r="D5" s="84">
        <f>AVERAGE('Résultats détaillés'!J7:M7)</f>
        <v>901.06045000000006</v>
      </c>
      <c r="E5" s="84">
        <f t="shared" si="0"/>
        <v>856.31762500000002</v>
      </c>
      <c r="Q5" s="78" t="str">
        <f>'Résultats détaillés'!P7</f>
        <v>SOYA - BLÉ D'AUTOMNE PANIFIABLE - CANOLA - BLÉ D'AUTOMNE PANIFIABLE</v>
      </c>
      <c r="R5" s="83">
        <f>AVERAGE('Résultats détaillés'!Q7:T7)</f>
        <v>811.57479999999987</v>
      </c>
      <c r="S5" s="83">
        <f>AVERAGE('Résultats détaillés'!U7:X7)</f>
        <v>856.31762499999991</v>
      </c>
      <c r="T5" s="84">
        <f>AVERAGE('Résultats détaillés'!Y7:AB7)</f>
        <v>901.06045000000006</v>
      </c>
      <c r="U5" s="84">
        <f t="shared" si="1"/>
        <v>856.31762500000002</v>
      </c>
    </row>
    <row r="6" spans="1:21" x14ac:dyDescent="0.25">
      <c r="A6" s="78" t="str">
        <f>'Résultats détaillés'!A8</f>
        <v>SOYA - BLÉ DE PRINTEMPS PANIFIABLE - CANOLA - BLÉ DE PRINTEMPS PANIFIABLE</v>
      </c>
      <c r="B6" s="83">
        <f>AVERAGE('Résultats détaillés'!B8:E8)</f>
        <v>645.86684999999977</v>
      </c>
      <c r="C6" s="83">
        <f>AVERAGE('Résultats détaillés'!F8:I8)</f>
        <v>682.47715499999981</v>
      </c>
      <c r="D6" s="84">
        <f>AVERAGE('Résultats détaillés'!J8:M8)</f>
        <v>719.08745999999996</v>
      </c>
      <c r="E6" s="84">
        <f t="shared" si="0"/>
        <v>682.47715499999981</v>
      </c>
      <c r="Q6" s="78" t="str">
        <f>'Résultats détaillés'!P8</f>
        <v>SOYA - BLÉ DE PRINTEMPS PANIFIABLE - CANOLA - BLÉ DE PRINTEMPS PANIFIABLE</v>
      </c>
      <c r="R6" s="83">
        <f>AVERAGE('Résultats détaillés'!Q8:T8)</f>
        <v>645.86684999999977</v>
      </c>
      <c r="S6" s="83">
        <f>AVERAGE('Résultats détaillés'!U8:X8)</f>
        <v>682.47715499999981</v>
      </c>
      <c r="T6" s="84">
        <f>AVERAGE('Résultats détaillés'!Y8:AB8)</f>
        <v>719.08745999999996</v>
      </c>
      <c r="U6" s="84">
        <f t="shared" si="1"/>
        <v>682.47715499999981</v>
      </c>
    </row>
    <row r="7" spans="1:21" x14ac:dyDescent="0.25">
      <c r="A7" s="78" t="str">
        <f>'Résultats détaillés'!A9</f>
        <v>SOYA - AVOINE - CANOLA - AVOINE</v>
      </c>
      <c r="B7" s="83">
        <f>AVERAGE('Résultats détaillés'!B9:E9)</f>
        <v>505.40580000000006</v>
      </c>
      <c r="C7" s="83">
        <f>AVERAGE('Résultats détaillés'!F9:I9)</f>
        <v>530.51411999999993</v>
      </c>
      <c r="D7" s="84">
        <f>AVERAGE('Résultats détaillés'!J9:M9)</f>
        <v>555.6224400000001</v>
      </c>
      <c r="E7" s="84">
        <f t="shared" si="0"/>
        <v>530.51412000000005</v>
      </c>
      <c r="Q7" s="78" t="str">
        <f>'Résultats détaillés'!P9</f>
        <v>SOYA - AVOINE - CANOLA - AVOINE</v>
      </c>
      <c r="R7" s="83">
        <f>AVERAGE('Résultats détaillés'!Q9:T9)</f>
        <v>505.40580000000006</v>
      </c>
      <c r="S7" s="83">
        <f>AVERAGE('Résultats détaillés'!U9:X9)</f>
        <v>530.51411999999993</v>
      </c>
      <c r="T7" s="84">
        <f>AVERAGE('Résultats détaillés'!Y9:AB9)</f>
        <v>555.6224400000001</v>
      </c>
      <c r="U7" s="84">
        <f t="shared" si="1"/>
        <v>530.51412000000005</v>
      </c>
    </row>
    <row r="8" spans="1:21" x14ac:dyDescent="0.25">
      <c r="A8" s="79" t="str">
        <f>'Résultats détaillés'!A10</f>
        <v>SOYA - ORGE - CANOLA - ORGE</v>
      </c>
      <c r="B8" s="85">
        <f>AVERAGE('Résultats détaillés'!B10:E10)</f>
        <v>581.08754999999996</v>
      </c>
      <c r="C8" s="85">
        <f>AVERAGE('Résultats détaillés'!F10:I10)</f>
        <v>610.17393749999985</v>
      </c>
      <c r="D8" s="86">
        <f>AVERAGE('Résultats détaillés'!J10:M10)</f>
        <v>639.26032500000008</v>
      </c>
      <c r="E8" s="86">
        <f t="shared" si="0"/>
        <v>610.17393750000008</v>
      </c>
      <c r="Q8" s="79" t="str">
        <f>'Résultats détaillés'!P10</f>
        <v>SOYA - ORGE - CANOLA - ORGE</v>
      </c>
      <c r="R8" s="85">
        <f>AVERAGE('Résultats détaillés'!Q10:T10)</f>
        <v>581.08754999999996</v>
      </c>
      <c r="S8" s="85">
        <f>AVERAGE('Résultats détaillés'!U10:X10)</f>
        <v>610.17393749999985</v>
      </c>
      <c r="T8" s="86">
        <f>AVERAGE('Résultats détaillés'!Y10:AB10)</f>
        <v>639.26032500000008</v>
      </c>
      <c r="U8" s="86">
        <f t="shared" si="1"/>
        <v>610.17393750000008</v>
      </c>
    </row>
    <row r="26" spans="1:21" x14ac:dyDescent="0.25">
      <c r="A26" s="114" t="s">
        <v>211</v>
      </c>
      <c r="B26" s="114"/>
      <c r="C26" s="114"/>
      <c r="D26" s="114"/>
      <c r="E26" s="114"/>
      <c r="Q26" s="117" t="s">
        <v>214</v>
      </c>
      <c r="R26" s="117"/>
      <c r="S26" s="117"/>
      <c r="T26" s="117"/>
      <c r="U26" s="117"/>
    </row>
    <row r="27" spans="1:21" ht="60" x14ac:dyDescent="0.25">
      <c r="A27" s="69" t="s">
        <v>205</v>
      </c>
      <c r="B27" s="74" t="s">
        <v>206</v>
      </c>
      <c r="C27" s="75" t="s">
        <v>207</v>
      </c>
      <c r="D27" s="76" t="s">
        <v>208</v>
      </c>
      <c r="E27" s="76" t="s">
        <v>209</v>
      </c>
      <c r="Q27" s="88" t="s">
        <v>205</v>
      </c>
      <c r="R27" s="74" t="s">
        <v>206</v>
      </c>
      <c r="S27" s="75" t="s">
        <v>207</v>
      </c>
      <c r="T27" s="76" t="s">
        <v>208</v>
      </c>
      <c r="U27" s="76" t="s">
        <v>209</v>
      </c>
    </row>
    <row r="28" spans="1:21" x14ac:dyDescent="0.25">
      <c r="A28" s="80" t="str">
        <f>'Résultats détaillés'!A17</f>
        <v>MG - SOYA - BLÉ DE PRINTEMPS PANIFIABLE</v>
      </c>
      <c r="B28" s="81">
        <f>AVERAGE('Résultats détaillés'!B17:D17)</f>
        <v>563.57699999999988</v>
      </c>
      <c r="C28" s="81">
        <f>AVERAGE('Résultats détaillés'!E17:G17)</f>
        <v>633.93211699999995</v>
      </c>
      <c r="D28" s="82">
        <f>AVERAGE('Résultats détaillés'!H17:J17)</f>
        <v>704.28723400000001</v>
      </c>
      <c r="E28" s="82">
        <f>AVERAGE(B28:D28)</f>
        <v>633.93211699999995</v>
      </c>
      <c r="Q28" s="80" t="str">
        <f>'Résultats détaillés'!P17</f>
        <v>MG - SOYA - BLÉ DE PRINTEMPS PANIFIABLE</v>
      </c>
      <c r="R28" s="81">
        <f>AVERAGE('Résultats détaillés'!Q17:S17)</f>
        <v>563.57699999999988</v>
      </c>
      <c r="S28" s="81">
        <f>AVERAGE('Résultats détaillés'!T17:V17)</f>
        <v>633.93211699999995</v>
      </c>
      <c r="T28" s="82">
        <f>AVERAGE('Résultats détaillés'!W17:Y17)</f>
        <v>704.28723400000001</v>
      </c>
      <c r="U28" s="82">
        <f>AVERAGE(R28:T28)</f>
        <v>633.93211699999995</v>
      </c>
    </row>
    <row r="29" spans="1:21" x14ac:dyDescent="0.25">
      <c r="A29" s="77" t="str">
        <f>'Résultats détaillés'!A18</f>
        <v>MG - SOYA - BLÉ D'AUTOMNE PANIFIABLE</v>
      </c>
      <c r="B29" s="83">
        <f>AVERAGE('Résultats détaillés'!B18:D18)</f>
        <v>674.04896666666662</v>
      </c>
      <c r="C29" s="83">
        <f>AVERAGE('Résultats détaillés'!E18:G18)</f>
        <v>749.82576366666672</v>
      </c>
      <c r="D29" s="84">
        <f>AVERAGE('Résultats détaillés'!H18:J18)</f>
        <v>825.60256066666682</v>
      </c>
      <c r="E29" s="84">
        <f t="shared" ref="E29:E33" si="2">AVERAGE(B29:D29)</f>
        <v>749.82576366666672</v>
      </c>
      <c r="Q29" s="77" t="str">
        <f>'Résultats détaillés'!P18</f>
        <v>MG - SOYA - BLÉ D'AUTOMNE PANIFIABLE</v>
      </c>
      <c r="R29" s="83">
        <f>AVERAGE('Résultats détaillés'!Q18:S18)</f>
        <v>674.04896666666662</v>
      </c>
      <c r="S29" s="83">
        <f>AVERAGE('Résultats détaillés'!T18:V18)</f>
        <v>749.82576366666672</v>
      </c>
      <c r="T29" s="84">
        <f>AVERAGE('Résultats détaillés'!W18:Y18)</f>
        <v>825.60256066666682</v>
      </c>
      <c r="U29" s="84">
        <f t="shared" ref="U29:U33" si="3">AVERAGE(R29:T29)</f>
        <v>749.82576366666672</v>
      </c>
    </row>
    <row r="30" spans="1:21" x14ac:dyDescent="0.25">
      <c r="A30" s="78" t="str">
        <f>'Résultats détaillés'!A19</f>
        <v>SOYA - BLÉ D'AUTOMNE PANIFIABLE - CANOLA - BLÉ D'AUTOMNE PANIFIABLE</v>
      </c>
      <c r="B30" s="83">
        <f>AVERAGE('Résultats détaillés'!B19:E19)</f>
        <v>666.3098</v>
      </c>
      <c r="C30" s="83">
        <f>AVERAGE('Résultats détaillés'!F19:I19)</f>
        <v>711.05262500000003</v>
      </c>
      <c r="D30" s="84">
        <f>AVERAGE('Résultats détaillés'!J19:M19)</f>
        <v>755.79545000000007</v>
      </c>
      <c r="E30" s="84">
        <f t="shared" si="2"/>
        <v>711.05262499999992</v>
      </c>
      <c r="Q30" s="78" t="str">
        <f>'Résultats détaillés'!P19</f>
        <v>SOYA - BLÉ D'AUTOMNE PANIFIABLE - CANOLA - BLÉ D'AUTOMNE PANIFIABLE</v>
      </c>
      <c r="R30" s="83">
        <f>AVERAGE('Résultats détaillés'!Q19:T19)</f>
        <v>666.3098</v>
      </c>
      <c r="S30" s="83">
        <f>AVERAGE('Résultats détaillés'!U19:X19)</f>
        <v>711.05262500000003</v>
      </c>
      <c r="T30" s="84">
        <f>AVERAGE('Résultats détaillés'!Y19:AB19)</f>
        <v>755.79545000000007</v>
      </c>
      <c r="U30" s="84">
        <f t="shared" si="3"/>
        <v>711.05262499999992</v>
      </c>
    </row>
    <row r="31" spans="1:21" x14ac:dyDescent="0.25">
      <c r="A31" s="78" t="str">
        <f>'Résultats détaillés'!A20</f>
        <v>SOYA - BLÉ DE PRINTEMPS PANIFIABLE - CANOLA - BLÉ DE PRINTEMPS PANIFIABLE</v>
      </c>
      <c r="B31" s="83">
        <f>AVERAGE('Résultats détaillés'!B20:E20)</f>
        <v>500.60184999999979</v>
      </c>
      <c r="C31" s="83">
        <f>AVERAGE('Résultats détaillés'!F20:I20)</f>
        <v>537.21215499999994</v>
      </c>
      <c r="D31" s="84">
        <f>AVERAGE('Résultats détaillés'!J20:M20)</f>
        <v>573.82246000000009</v>
      </c>
      <c r="E31" s="84">
        <f t="shared" si="2"/>
        <v>537.21215499999994</v>
      </c>
      <c r="Q31" s="78" t="str">
        <f>'Résultats détaillés'!P20</f>
        <v>SOYA - BLÉ DE PRINTEMPS PANIFIABLE - CANOLA - BLÉ DE PRINTEMPS PANIFIABLE</v>
      </c>
      <c r="R31" s="83">
        <f>AVERAGE('Résultats détaillés'!Q20:T20)</f>
        <v>500.60184999999979</v>
      </c>
      <c r="S31" s="83">
        <f>AVERAGE('Résultats détaillés'!U20:X20)</f>
        <v>537.21215499999994</v>
      </c>
      <c r="T31" s="84">
        <f>AVERAGE('Résultats détaillés'!Y20:AB20)</f>
        <v>573.82246000000009</v>
      </c>
      <c r="U31" s="84">
        <f t="shared" si="3"/>
        <v>537.21215499999994</v>
      </c>
    </row>
    <row r="32" spans="1:21" x14ac:dyDescent="0.25">
      <c r="A32" s="78" t="str">
        <f>'Résultats détaillés'!A21</f>
        <v>SOYA - AVOINE - CANOLA - AVOINE</v>
      </c>
      <c r="B32" s="83">
        <f>AVERAGE('Résultats détaillés'!B21:E21)</f>
        <v>374.37080000000009</v>
      </c>
      <c r="C32" s="83">
        <f>AVERAGE('Résultats détaillés'!F21:I21)</f>
        <v>399.47911999999997</v>
      </c>
      <c r="D32" s="84">
        <f>AVERAGE('Résultats détaillés'!J21:M21)</f>
        <v>424.58744000000002</v>
      </c>
      <c r="E32" s="84">
        <f t="shared" si="2"/>
        <v>399.47912000000002</v>
      </c>
      <c r="Q32" s="78" t="str">
        <f>'Résultats détaillés'!P21</f>
        <v>SOYA - AVOINE - CANOLA - AVOINE</v>
      </c>
      <c r="R32" s="83">
        <f>AVERAGE('Résultats détaillés'!Q21:T21)</f>
        <v>374.37080000000009</v>
      </c>
      <c r="S32" s="83">
        <f>AVERAGE('Résultats détaillés'!U21:X21)</f>
        <v>399.47911999999997</v>
      </c>
      <c r="T32" s="84">
        <f>AVERAGE('Résultats détaillés'!Y21:AB21)</f>
        <v>424.58744000000002</v>
      </c>
      <c r="U32" s="84">
        <f t="shared" si="3"/>
        <v>399.47912000000002</v>
      </c>
    </row>
    <row r="33" spans="1:21" x14ac:dyDescent="0.25">
      <c r="A33" s="79" t="str">
        <f>'Résultats détaillés'!A22</f>
        <v>SOYA - ORGE - CANOLA - ORGE</v>
      </c>
      <c r="B33" s="85">
        <f>AVERAGE('Résultats détaillés'!B22:E22)</f>
        <v>439.10255000000006</v>
      </c>
      <c r="C33" s="85">
        <f>AVERAGE('Résultats détaillés'!F22:I22)</f>
        <v>468.18893749999984</v>
      </c>
      <c r="D33" s="86">
        <f>AVERAGE('Résultats détaillés'!J22:M22)</f>
        <v>497.27532500000007</v>
      </c>
      <c r="E33" s="86">
        <f t="shared" si="2"/>
        <v>468.18893750000001</v>
      </c>
      <c r="Q33" s="79" t="str">
        <f>'Résultats détaillés'!P22</f>
        <v>SOYA - ORGE - CANOLA - ORGE</v>
      </c>
      <c r="R33" s="85">
        <f>AVERAGE('Résultats détaillés'!Q22:T22)</f>
        <v>439.10255000000006</v>
      </c>
      <c r="S33" s="85">
        <f>AVERAGE('Résultats détaillés'!U22:X22)</f>
        <v>468.18893749999984</v>
      </c>
      <c r="T33" s="86">
        <f>AVERAGE('Résultats détaillés'!Y22:AB22)</f>
        <v>497.27532500000007</v>
      </c>
      <c r="U33" s="86">
        <f t="shared" si="3"/>
        <v>468.18893750000001</v>
      </c>
    </row>
    <row r="54" spans="1:21" x14ac:dyDescent="0.25">
      <c r="A54" s="115" t="s">
        <v>212</v>
      </c>
      <c r="B54" s="115"/>
      <c r="C54" s="115"/>
      <c r="D54" s="115"/>
      <c r="E54" s="115"/>
      <c r="Q54" s="116" t="s">
        <v>215</v>
      </c>
      <c r="R54" s="116"/>
      <c r="S54" s="116"/>
      <c r="T54" s="116"/>
      <c r="U54" s="116"/>
    </row>
    <row r="55" spans="1:21" ht="60" x14ac:dyDescent="0.25">
      <c r="A55" s="70" t="s">
        <v>205</v>
      </c>
      <c r="B55" s="74" t="s">
        <v>206</v>
      </c>
      <c r="C55" s="75" t="s">
        <v>207</v>
      </c>
      <c r="D55" s="76" t="s">
        <v>208</v>
      </c>
      <c r="E55" s="76" t="s">
        <v>209</v>
      </c>
      <c r="Q55" s="89" t="s">
        <v>205</v>
      </c>
      <c r="R55" s="74" t="s">
        <v>206</v>
      </c>
      <c r="S55" s="75" t="s">
        <v>207</v>
      </c>
      <c r="T55" s="76" t="s">
        <v>208</v>
      </c>
      <c r="U55" s="76" t="s">
        <v>209</v>
      </c>
    </row>
    <row r="56" spans="1:21" x14ac:dyDescent="0.25">
      <c r="A56" s="80" t="str">
        <f>'Résultats détaillés'!A29</f>
        <v>MG - SOYA - BLÉ DE PRINTEMPS PANIFIABLE</v>
      </c>
      <c r="B56" s="81">
        <f>AVERAGE('Résultats détaillés'!B29:D29)</f>
        <v>105.68033333333331</v>
      </c>
      <c r="C56" s="81">
        <f>AVERAGE('Résultats détaillés'!E29:G29)</f>
        <v>176.03545033333322</v>
      </c>
      <c r="D56" s="82">
        <f>AVERAGE('Résultats détaillés'!H29:J29)</f>
        <v>246.39056733333345</v>
      </c>
      <c r="E56" s="82">
        <f>AVERAGE(B56:D56)</f>
        <v>176.03545033333333</v>
      </c>
      <c r="Q56" s="80" t="str">
        <f>'Résultats détaillés'!P29</f>
        <v>MG - SOYA - BLÉ DE PRINTEMPS PANIFIABLE</v>
      </c>
      <c r="R56" s="81">
        <f>AVERAGE('Résultats détaillés'!Q29:S29)</f>
        <v>105.68033333333331</v>
      </c>
      <c r="S56" s="81">
        <f>AVERAGE('Résultats détaillés'!T29:V29)</f>
        <v>176.03545033333322</v>
      </c>
      <c r="T56" s="82">
        <f>AVERAGE('Résultats détaillés'!W29:Y29)</f>
        <v>246.39056733333345</v>
      </c>
      <c r="U56" s="82">
        <f>AVERAGE(R56:T56)</f>
        <v>176.03545033333333</v>
      </c>
    </row>
    <row r="57" spans="1:21" x14ac:dyDescent="0.25">
      <c r="A57" s="77" t="str">
        <f>'Résultats détaillés'!A30</f>
        <v>MG - SOYA - BLÉ D'AUTOMNE PANIFIABLE</v>
      </c>
      <c r="B57" s="83">
        <f>AVERAGE('Résultats détaillés'!B30:D30)</f>
        <v>216.15230000000005</v>
      </c>
      <c r="C57" s="83">
        <f>AVERAGE('Résultats détaillés'!E30:G30)</f>
        <v>291.92909699999996</v>
      </c>
      <c r="D57" s="84">
        <f>AVERAGE('Résultats détaillés'!H30:J30)</f>
        <v>367.70589400000017</v>
      </c>
      <c r="E57" s="84">
        <f t="shared" ref="E57:E61" si="4">AVERAGE(B57:D57)</f>
        <v>291.92909700000007</v>
      </c>
      <c r="Q57" s="77" t="str">
        <f>'Résultats détaillés'!P30</f>
        <v>MG - SOYA - BLÉ D'AUTOMNE PANIFIABLE</v>
      </c>
      <c r="R57" s="83">
        <f>AVERAGE('Résultats détaillés'!Q30:S30)</f>
        <v>216.15230000000005</v>
      </c>
      <c r="S57" s="83">
        <f>AVERAGE('Résultats détaillés'!T30:V30)</f>
        <v>291.92909699999996</v>
      </c>
      <c r="T57" s="84">
        <f>AVERAGE('Résultats détaillés'!W30:Y30)</f>
        <v>367.70589400000017</v>
      </c>
      <c r="U57" s="84">
        <f t="shared" ref="U57:U61" si="5">AVERAGE(R57:T57)</f>
        <v>291.92909700000007</v>
      </c>
    </row>
    <row r="58" spans="1:21" x14ac:dyDescent="0.25">
      <c r="A58" s="78" t="str">
        <f>'Résultats détaillés'!A31</f>
        <v>SOYA - BLÉ D'AUTOMNE PANIFIABLE - CANOLA - BLÉ D'AUTOMNE PANIFIABLE</v>
      </c>
      <c r="B58" s="83">
        <f>AVERAGE('Résultats détaillés'!B31:E31)</f>
        <v>311.63229999999993</v>
      </c>
      <c r="C58" s="83">
        <f>AVERAGE('Résultats détaillés'!F31:I31)</f>
        <v>356.37512499999997</v>
      </c>
      <c r="D58" s="84">
        <f>AVERAGE('Résultats détaillés'!J31:M31)</f>
        <v>401.11795000000006</v>
      </c>
      <c r="E58" s="84">
        <f t="shared" si="4"/>
        <v>356.37512500000003</v>
      </c>
      <c r="Q58" s="78" t="str">
        <f>'Résultats détaillés'!P31</f>
        <v>SOYA - BLÉ D'AUTOMNE PANIFIABLE - CANOLA - BLÉ D'AUTOMNE PANIFIABLE</v>
      </c>
      <c r="R58" s="83">
        <f>AVERAGE('Résultats détaillés'!Q31:T31)</f>
        <v>311.63229999999993</v>
      </c>
      <c r="S58" s="83">
        <f>AVERAGE('Résultats détaillés'!U31:X31)</f>
        <v>356.37512499999997</v>
      </c>
      <c r="T58" s="84">
        <f>AVERAGE('Résultats détaillés'!Y31:AB31)</f>
        <v>401.11795000000006</v>
      </c>
      <c r="U58" s="84">
        <f t="shared" si="5"/>
        <v>356.37512500000003</v>
      </c>
    </row>
    <row r="59" spans="1:21" x14ac:dyDescent="0.25">
      <c r="A59" s="78" t="str">
        <f>'Résultats détaillés'!A32</f>
        <v>SOYA - BLÉ DE PRINTEMPS PANIFIABLE - CANOLA - BLÉ DE PRINTEMPS PANIFIABLE</v>
      </c>
      <c r="B59" s="83">
        <f>AVERAGE('Résultats détaillés'!B32:E32)</f>
        <v>145.92434999999983</v>
      </c>
      <c r="C59" s="83">
        <f>AVERAGE('Résultats détaillés'!F32:I32)</f>
        <v>182.53465499999987</v>
      </c>
      <c r="D59" s="84">
        <f>AVERAGE('Résultats détaillés'!J32:M32)</f>
        <v>219.14496000000003</v>
      </c>
      <c r="E59" s="84">
        <f t="shared" si="4"/>
        <v>182.53465499999993</v>
      </c>
      <c r="Q59" s="78" t="str">
        <f>'Résultats détaillés'!P32</f>
        <v>SOYA - BLÉ DE PRINTEMPS PANIFIABLE - CANOLA - BLÉ DE PRINTEMPS PANIFIABLE</v>
      </c>
      <c r="R59" s="83">
        <f>AVERAGE('Résultats détaillés'!Q32:T32)</f>
        <v>145.92434999999983</v>
      </c>
      <c r="S59" s="83">
        <f>AVERAGE('Résultats détaillés'!U32:X32)</f>
        <v>182.53465499999987</v>
      </c>
      <c r="T59" s="84">
        <f>AVERAGE('Résultats détaillés'!Y32:AB32)</f>
        <v>219.14496000000003</v>
      </c>
      <c r="U59" s="84">
        <f t="shared" si="5"/>
        <v>182.53465499999993</v>
      </c>
    </row>
    <row r="60" spans="1:21" x14ac:dyDescent="0.25">
      <c r="A60" s="78" t="str">
        <f>'Résultats détaillés'!A33</f>
        <v>SOYA - AVOINE - CANOLA - AVOINE</v>
      </c>
      <c r="B60" s="83">
        <f>AVERAGE('Résultats détaillés'!B33:E33)</f>
        <v>68.368300000000062</v>
      </c>
      <c r="C60" s="83">
        <f>AVERAGE('Résultats détaillés'!F33:I33)</f>
        <v>93.476619999999997</v>
      </c>
      <c r="D60" s="84">
        <f>AVERAGE('Résultats détaillés'!J33:M33)</f>
        <v>118.5849400000001</v>
      </c>
      <c r="E60" s="84">
        <f t="shared" si="4"/>
        <v>93.476620000000068</v>
      </c>
      <c r="Q60" s="78" t="str">
        <f>'Résultats détaillés'!P33</f>
        <v>SOYA - AVOINE - CANOLA - AVOINE</v>
      </c>
      <c r="R60" s="83">
        <f>AVERAGE('Résultats détaillés'!Q33:T33)</f>
        <v>68.368300000000062</v>
      </c>
      <c r="S60" s="83">
        <f>AVERAGE('Résultats détaillés'!U33:X33)</f>
        <v>93.476619999999997</v>
      </c>
      <c r="T60" s="84">
        <f>AVERAGE('Résultats détaillés'!Y33:AB33)</f>
        <v>118.5849400000001</v>
      </c>
      <c r="U60" s="84">
        <f t="shared" si="5"/>
        <v>93.476620000000068</v>
      </c>
    </row>
    <row r="61" spans="1:21" x14ac:dyDescent="0.25">
      <c r="A61" s="79" t="str">
        <f>'Résultats détaillés'!A34</f>
        <v>SOYA - ORGE - CANOLA - ORGE</v>
      </c>
      <c r="B61" s="85">
        <f>AVERAGE('Résultats détaillés'!B34:E34)</f>
        <v>82.050050000000056</v>
      </c>
      <c r="C61" s="85">
        <f>AVERAGE('Résultats détaillés'!F34:I34)</f>
        <v>111.13643749999989</v>
      </c>
      <c r="D61" s="86">
        <f>AVERAGE('Résultats détaillés'!J34:M34)</f>
        <v>140.22282500000011</v>
      </c>
      <c r="E61" s="86">
        <f t="shared" si="4"/>
        <v>111.13643750000001</v>
      </c>
      <c r="Q61" s="79" t="str">
        <f>'Résultats détaillés'!P34</f>
        <v>SOYA - ORGE - CANOLA - ORGE</v>
      </c>
      <c r="R61" s="85">
        <f>AVERAGE('Résultats détaillés'!Q34:T34)</f>
        <v>82.050050000000056</v>
      </c>
      <c r="S61" s="85">
        <f>AVERAGE('Résultats détaillés'!U34:X34)</f>
        <v>111.13643749999989</v>
      </c>
      <c r="T61" s="86">
        <f>AVERAGE('Résultats détaillés'!Y34:AB34)</f>
        <v>140.22282500000011</v>
      </c>
      <c r="U61" s="86">
        <f t="shared" si="5"/>
        <v>111.13643750000001</v>
      </c>
    </row>
  </sheetData>
  <mergeCells count="6">
    <mergeCell ref="A1:E1"/>
    <mergeCell ref="A26:E26"/>
    <mergeCell ref="A54:E54"/>
    <mergeCell ref="Q54:U54"/>
    <mergeCell ref="Q26:U26"/>
    <mergeCell ref="Q1:U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235C37FF0B7BF40A469807B3557D740" ma:contentTypeVersion="16" ma:contentTypeDescription="Crée un document." ma:contentTypeScope="" ma:versionID="a5e1e57425f9831ac689da1a6aed8b6a">
  <xsd:schema xmlns:xsd="http://www.w3.org/2001/XMLSchema" xmlns:xs="http://www.w3.org/2001/XMLSchema" xmlns:p="http://schemas.microsoft.com/office/2006/metadata/properties" xmlns:ns2="b9bbbdfe-e28d-4400-a787-fa8689654ece" xmlns:ns3="b995caa8-c599-465c-85e6-d061a0aa3d29" targetNamespace="http://schemas.microsoft.com/office/2006/metadata/properties" ma:root="true" ma:fieldsID="b8af965f957082030aafaeea9a3e1eb1" ns2:_="" ns3:_="">
    <xsd:import namespace="b9bbbdfe-e28d-4400-a787-fa8689654ece"/>
    <xsd:import namespace="b995caa8-c599-465c-85e6-d061a0aa3d29"/>
    <xsd:element name="properties">
      <xsd:complexType>
        <xsd:sequence>
          <xsd:element name="documentManagement">
            <xsd:complexType>
              <xsd:all>
                <xsd:element ref="ns2:MediaServiceMetadata" minOccurs="0"/>
                <xsd:element ref="ns2:MediaServiceFastMetadata"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3:SharedWithUsers" minOccurs="0"/>
                <xsd:element ref="ns3:SharedWithDetails" minOccurs="0"/>
                <xsd:element ref="ns2:MediaServiceLocation"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bbbdfe-e28d-4400-a787-fa8689654ec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0" nillable="true" ma:displayName="Length (seconds)" ma:internalName="MediaLengthInSeconds" ma:readOnly="true">
      <xsd:simpleType>
        <xsd:restriction base="dms:Unknown"/>
      </xsd:simpleType>
    </xsd:element>
    <xsd:element name="MediaServiceDateTaken" ma:index="11" nillable="true" ma:displayName="MediaServiceDateTaken" ma:hidden="true" ma:internalName="MediaServiceDateTaken" ma:readOnly="true">
      <xsd:simpleType>
        <xsd:restriction base="dms:Text"/>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3e165e1e-8df5-4a15-b652-d937b5ab2de3"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b995caa8-c599-465c-85e6-d061a0aa3d29"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0efd461-0863-4a5d-8e34-26da13f49d40}" ma:internalName="TaxCatchAll" ma:showField="CatchAllData" ma:web="b995caa8-c599-465c-85e6-d061a0aa3d2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EF7651-F9DE-4F16-9A08-08457CB953F0}">
  <ds:schemaRefs>
    <ds:schemaRef ds:uri="http://schemas.microsoft.com/sharepoint/v3/contenttype/forms"/>
  </ds:schemaRefs>
</ds:datastoreItem>
</file>

<file path=customXml/itemProps2.xml><?xml version="1.0" encoding="utf-8"?>
<ds:datastoreItem xmlns:ds="http://schemas.openxmlformats.org/officeDocument/2006/customXml" ds:itemID="{F6F24013-4CA9-4F54-BEE5-7A75DBDABB2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bbbdfe-e28d-4400-a787-fa8689654ece"/>
    <ds:schemaRef ds:uri="b995caa8-c599-465c-85e6-d061a0aa3d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18</vt:i4>
      </vt:variant>
      <vt:variant>
        <vt:lpstr>Plages nommées</vt:lpstr>
      </vt:variant>
      <vt:variant>
        <vt:i4>4</vt:i4>
      </vt:variant>
    </vt:vector>
  </HeadingPairs>
  <TitlesOfParts>
    <vt:vector size="22" baseType="lpstr">
      <vt:lpstr>GuideUtilisation</vt:lpstr>
      <vt:lpstr>Saisies</vt:lpstr>
      <vt:lpstr>Gains agronomiques</vt:lpstr>
      <vt:lpstr>Maïs-grain</vt:lpstr>
      <vt:lpstr>Canola</vt:lpstr>
      <vt:lpstr>Soya</vt:lpstr>
      <vt:lpstr>Orge</vt:lpstr>
      <vt:lpstr>Avoine</vt:lpstr>
      <vt:lpstr>Blé_d'automne</vt:lpstr>
      <vt:lpstr>Blé_printemps</vt:lpstr>
      <vt:lpstr>Sarrasin</vt:lpstr>
      <vt:lpstr>Cultures de couverture</vt:lpstr>
      <vt:lpstr>ASRA_Calculs</vt:lpstr>
      <vt:lpstr>Rendements_CECPA</vt:lpstr>
      <vt:lpstr>Prix_CECPA</vt:lpstr>
      <vt:lpstr>Intermédiaire_Prod-Résultats</vt:lpstr>
      <vt:lpstr>Résultats détaillés</vt:lpstr>
      <vt:lpstr>Résultats sommaires</vt:lpstr>
      <vt:lpstr>Prix</vt:lpstr>
      <vt:lpstr>Prix_Titre</vt:lpstr>
      <vt:lpstr>Rend</vt:lpstr>
      <vt:lpstr>Rend_Titre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doria</dc:creator>
  <cp:lastModifiedBy>Rolande Bicaba</cp:lastModifiedBy>
  <cp:lastPrinted>2022-08-23T13:06:14Z</cp:lastPrinted>
  <dcterms:created xsi:type="dcterms:W3CDTF">2022-08-16T13:44:10Z</dcterms:created>
  <dcterms:modified xsi:type="dcterms:W3CDTF">2023-02-24T20:34:35Z</dcterms:modified>
</cp:coreProperties>
</file>