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Override PartName="/xl/threadedComments/threadedComment4.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https://fpccq-my.sharepoint.com/personal/rbicaba_pgq_ca/Documents/Bureau/CGQ/"/>
    </mc:Choice>
  </mc:AlternateContent>
  <xr:revisionPtr revIDLastSave="0" documentId="8_{A54BD538-0D28-4332-818B-94F5C6F83CBF}" xr6:coauthVersionLast="47" xr6:coauthVersionMax="47" xr10:uidLastSave="{00000000-0000-0000-0000-000000000000}"/>
  <bookViews>
    <workbookView xWindow="-120" yWindow="-120" windowWidth="29040" windowHeight="15840" firstSheet="4" activeTab="18" xr2:uid="{46BA2E5C-FF92-4135-AB58-C749BADE77E8}"/>
  </bookViews>
  <sheets>
    <sheet name="GuideUtilisation" sheetId="1" r:id="rId1"/>
    <sheet name="Saisies" sheetId="2" r:id="rId2"/>
    <sheet name="Gains agronomiques" sheetId="17" state="hidden" r:id="rId3"/>
    <sheet name="Chanvre" sheetId="12" r:id="rId4"/>
    <sheet name="Sarrasin" sheetId="31" r:id="rId5"/>
    <sheet name="Orge" sheetId="32" r:id="rId6"/>
    <sheet name="Avoine" sheetId="33" r:id="rId7"/>
    <sheet name="Blé_d'automne" sheetId="34" r:id="rId8"/>
    <sheet name="Blé_printemps" sheetId="35" r:id="rId9"/>
    <sheet name="Seigle" sheetId="36" r:id="rId10"/>
    <sheet name="Seigle_hybride" sheetId="37" r:id="rId11"/>
    <sheet name="Prairie" sheetId="39" r:id="rId12"/>
    <sheet name="Cultures de couverture" sheetId="26" state="hidden" r:id="rId13"/>
    <sheet name="ASRA_Calculs" sheetId="22" state="hidden" r:id="rId14"/>
    <sheet name="Rendements_CECPA" sheetId="4" state="hidden" r:id="rId15"/>
    <sheet name="Prix_CECPA" sheetId="5" state="hidden" r:id="rId16"/>
    <sheet name="Intermédiaire_Prod-Résultats" sheetId="21" state="hidden" r:id="rId17"/>
    <sheet name="Résultats_détaillés" sheetId="19" r:id="rId18"/>
    <sheet name="Résultats_sommaires" sheetId="38" r:id="rId19"/>
  </sheets>
  <definedNames>
    <definedName name="Prix">Prix_CECPA!$A$2:$B$11</definedName>
    <definedName name="Prix_Titre">Prix_CECPA!$A$2:$B$2</definedName>
    <definedName name="Rend">Rendements_CECPA!$A$2:$B$10</definedName>
    <definedName name="Rend_Titre">Rendements_CECPA!$A$2:$B$2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5" i="19" l="1"/>
  <c r="AC16" i="21" l="1"/>
  <c r="CE20" i="21"/>
  <c r="CE17" i="21"/>
  <c r="CE16" i="21"/>
  <c r="CE5" i="21"/>
  <c r="CB20" i="21"/>
  <c r="CB17" i="21"/>
  <c r="CB5" i="21"/>
  <c r="BY20" i="21"/>
  <c r="BY17" i="21"/>
  <c r="BY5" i="21"/>
  <c r="BV20" i="21"/>
  <c r="BV17" i="21"/>
  <c r="BV5" i="21"/>
  <c r="BS20" i="21"/>
  <c r="BS17" i="21"/>
  <c r="BS5" i="21"/>
  <c r="BP20" i="21"/>
  <c r="BP17" i="21"/>
  <c r="BP5" i="21"/>
  <c r="BM20" i="21"/>
  <c r="BM17" i="21"/>
  <c r="BM5" i="21"/>
  <c r="BJ20" i="21"/>
  <c r="BJ17" i="21"/>
  <c r="BJ5" i="21"/>
  <c r="BG20" i="21"/>
  <c r="BG17" i="21"/>
  <c r="BG5" i="21"/>
  <c r="AC20" i="21"/>
  <c r="AC17" i="21"/>
  <c r="AC5" i="21"/>
  <c r="Z20" i="21"/>
  <c r="Z17" i="21"/>
  <c r="Z5" i="21"/>
  <c r="W20" i="21"/>
  <c r="W17" i="21"/>
  <c r="W5" i="21"/>
  <c r="T20" i="21"/>
  <c r="T17" i="21"/>
  <c r="T5" i="21"/>
  <c r="Q20" i="21"/>
  <c r="Q17" i="21"/>
  <c r="Q5" i="21"/>
  <c r="N20" i="21"/>
  <c r="N17" i="21"/>
  <c r="N5" i="21"/>
  <c r="K20" i="21"/>
  <c r="K17" i="21"/>
  <c r="K5" i="21"/>
  <c r="H20" i="21"/>
  <c r="H17" i="21"/>
  <c r="H5" i="21"/>
  <c r="E20" i="21"/>
  <c r="E17" i="21"/>
  <c r="E5" i="21"/>
  <c r="AB16" i="21"/>
  <c r="CD16" i="21"/>
  <c r="CD20" i="21"/>
  <c r="CD17" i="21"/>
  <c r="CD5" i="21"/>
  <c r="CA20" i="21"/>
  <c r="CA17" i="21"/>
  <c r="CA5" i="21"/>
  <c r="BX20" i="21"/>
  <c r="BX17" i="21"/>
  <c r="BX5" i="21"/>
  <c r="BU20" i="21"/>
  <c r="BU17" i="21"/>
  <c r="BU5" i="21"/>
  <c r="BR20" i="21"/>
  <c r="BR17" i="21"/>
  <c r="BR5" i="21"/>
  <c r="BO20" i="21"/>
  <c r="BO17" i="21"/>
  <c r="BO5" i="21"/>
  <c r="BL20" i="21"/>
  <c r="BL17" i="21"/>
  <c r="BL5" i="21"/>
  <c r="BI20" i="21"/>
  <c r="BI17" i="21"/>
  <c r="BI5" i="21"/>
  <c r="BF20" i="21"/>
  <c r="BF17" i="21"/>
  <c r="BF5" i="21"/>
  <c r="AB20" i="21"/>
  <c r="AB17" i="21"/>
  <c r="AB5" i="21"/>
  <c r="Y20" i="21"/>
  <c r="Y17" i="21"/>
  <c r="Y5" i="21"/>
  <c r="V20" i="21"/>
  <c r="V17" i="21"/>
  <c r="V5" i="21"/>
  <c r="S20" i="21"/>
  <c r="S17" i="21"/>
  <c r="S5" i="21"/>
  <c r="P20" i="21"/>
  <c r="P17" i="21"/>
  <c r="P5" i="21"/>
  <c r="M20" i="21"/>
  <c r="M17" i="21"/>
  <c r="M5" i="21"/>
  <c r="J20" i="21"/>
  <c r="J17" i="21"/>
  <c r="J5" i="21"/>
  <c r="G20" i="21"/>
  <c r="G17" i="21"/>
  <c r="G5" i="21"/>
  <c r="D20" i="21"/>
  <c r="D17" i="21"/>
  <c r="D5" i="21"/>
  <c r="N38" i="38" l="1"/>
  <c r="N33" i="38"/>
  <c r="N32" i="38"/>
  <c r="N8" i="38"/>
  <c r="N14" i="38"/>
  <c r="N17" i="38"/>
  <c r="V6" i="19"/>
  <c r="V7" i="19"/>
  <c r="V8" i="19"/>
  <c r="V9" i="19"/>
  <c r="V10" i="19"/>
  <c r="V11" i="19"/>
  <c r="V12" i="19"/>
  <c r="V13" i="19"/>
  <c r="V14" i="19"/>
  <c r="V15" i="19"/>
  <c r="V16" i="19"/>
  <c r="V17" i="19"/>
  <c r="V18" i="19"/>
  <c r="V19" i="19"/>
  <c r="V20" i="19"/>
  <c r="V5" i="19"/>
  <c r="A27" i="19"/>
  <c r="A28" i="38" s="1"/>
  <c r="N28" i="38" s="1"/>
  <c r="A28" i="19"/>
  <c r="A29" i="38" s="1"/>
  <c r="N29" i="38" s="1"/>
  <c r="A29" i="19"/>
  <c r="A30" i="38" s="1"/>
  <c r="N30" i="38" s="1"/>
  <c r="A30" i="19"/>
  <c r="A31" i="38" s="1"/>
  <c r="N31" i="38" s="1"/>
  <c r="A31" i="19"/>
  <c r="A33" i="38" s="1"/>
  <c r="A32" i="19"/>
  <c r="A34" i="38" s="1"/>
  <c r="N34" i="38" s="1"/>
  <c r="A33" i="19"/>
  <c r="A35" i="38" s="1"/>
  <c r="N35" i="38" s="1"/>
  <c r="A34" i="19"/>
  <c r="A36" i="38" s="1"/>
  <c r="N36" i="38" s="1"/>
  <c r="A35" i="19"/>
  <c r="A37" i="38" s="1"/>
  <c r="N37" i="38" s="1"/>
  <c r="A36" i="19"/>
  <c r="A39" i="38" s="1"/>
  <c r="N39" i="38" s="1"/>
  <c r="A37" i="19"/>
  <c r="A40" i="38" s="1"/>
  <c r="N40" i="38" s="1"/>
  <c r="A38" i="19"/>
  <c r="A41" i="38" s="1"/>
  <c r="N41" i="38" s="1"/>
  <c r="A39" i="19"/>
  <c r="A42" i="38" s="1"/>
  <c r="N42" i="38" s="1"/>
  <c r="A40" i="19"/>
  <c r="A43" i="38" s="1"/>
  <c r="N43" i="38" s="1"/>
  <c r="A41" i="19"/>
  <c r="A44" i="38" s="1"/>
  <c r="N44" i="38" s="1"/>
  <c r="A26" i="19"/>
  <c r="A27" i="38" s="1"/>
  <c r="N27" i="38" s="1"/>
  <c r="A15" i="38"/>
  <c r="N15" i="38" s="1"/>
  <c r="A16" i="38"/>
  <c r="N16" i="38" s="1"/>
  <c r="A17" i="38"/>
  <c r="A18" i="38"/>
  <c r="N18" i="38" s="1"/>
  <c r="A19" i="38"/>
  <c r="N19" i="38" s="1"/>
  <c r="A20" i="38"/>
  <c r="N20" i="38" s="1"/>
  <c r="CE23" i="21"/>
  <c r="CD23" i="21"/>
  <c r="BC23" i="21"/>
  <c r="BD23" i="21" s="1"/>
  <c r="AB23" i="21"/>
  <c r="AC23" i="21" s="1"/>
  <c r="BF15" i="21"/>
  <c r="BG15" i="21" s="1"/>
  <c r="BG16" i="21"/>
  <c r="BF16" i="21"/>
  <c r="AF16" i="21"/>
  <c r="AE16" i="21"/>
  <c r="AF15" i="21"/>
  <c r="AE15" i="21"/>
  <c r="E15" i="21"/>
  <c r="D15" i="21"/>
  <c r="V26" i="19" l="1"/>
  <c r="V34" i="19"/>
  <c r="V38" i="19"/>
  <c r="V27" i="19"/>
  <c r="V31" i="19"/>
  <c r="V35" i="19"/>
  <c r="V39" i="19"/>
  <c r="V30" i="19"/>
  <c r="V28" i="19"/>
  <c r="V32" i="19"/>
  <c r="V36" i="19"/>
  <c r="V40" i="19"/>
  <c r="V29" i="19"/>
  <c r="V33" i="19"/>
  <c r="V37" i="19"/>
  <c r="V41" i="19"/>
  <c r="A4" i="38"/>
  <c r="N4" i="38" s="1"/>
  <c r="A5" i="38"/>
  <c r="N5" i="38" s="1"/>
  <c r="A6" i="38"/>
  <c r="N6" i="38" s="1"/>
  <c r="A7" i="38"/>
  <c r="N7" i="38" s="1"/>
  <c r="A9" i="38"/>
  <c r="N9" i="38" s="1"/>
  <c r="A10" i="38"/>
  <c r="N10" i="38" s="1"/>
  <c r="A11" i="38"/>
  <c r="N11" i="38" s="1"/>
  <c r="A12" i="38"/>
  <c r="N12" i="38" s="1"/>
  <c r="A13" i="38"/>
  <c r="N13" i="38" s="1"/>
  <c r="D21" i="39"/>
  <c r="E16" i="39"/>
  <c r="D18" i="39"/>
  <c r="D21" i="37" l="1"/>
  <c r="D18" i="37"/>
  <c r="D21" i="36"/>
  <c r="D18" i="36"/>
  <c r="E16" i="37"/>
  <c r="D21" i="34"/>
  <c r="D18" i="34"/>
  <c r="D21" i="35"/>
  <c r="D18" i="35"/>
  <c r="D21" i="32"/>
  <c r="D18" i="32"/>
  <c r="D21" i="31"/>
  <c r="D18" i="31"/>
  <c r="B53" i="2"/>
  <c r="B7" i="4"/>
  <c r="B11" i="5"/>
  <c r="B30" i="2" s="1"/>
  <c r="CE30" i="21"/>
  <c r="CE29" i="21"/>
  <c r="CD30" i="21"/>
  <c r="CD29" i="21"/>
  <c r="CE22" i="21"/>
  <c r="CE6" i="21"/>
  <c r="CE7" i="21"/>
  <c r="CE9" i="21"/>
  <c r="CD18" i="21"/>
  <c r="CE18" i="21" s="1"/>
  <c r="CD19" i="21"/>
  <c r="CE19" i="21" s="1"/>
  <c r="CD21" i="21"/>
  <c r="CE21" i="21" s="1"/>
  <c r="CD22" i="21"/>
  <c r="CD15" i="21"/>
  <c r="CE15" i="21" s="1"/>
  <c r="CD7" i="21"/>
  <c r="CD9" i="21"/>
  <c r="CD6" i="21"/>
  <c r="CE2" i="21"/>
  <c r="AC30" i="21"/>
  <c r="AC29" i="21"/>
  <c r="AC6" i="21"/>
  <c r="AC7" i="21"/>
  <c r="AC9" i="21"/>
  <c r="AB30" i="21"/>
  <c r="AB29" i="21"/>
  <c r="AB18" i="21"/>
  <c r="AC18" i="21" s="1"/>
  <c r="AB19" i="21"/>
  <c r="AC19" i="21" s="1"/>
  <c r="AB21" i="21"/>
  <c r="AC21" i="21" s="1"/>
  <c r="AB22" i="21"/>
  <c r="AC22" i="21" s="1"/>
  <c r="AB15" i="21"/>
  <c r="AC15" i="21" s="1"/>
  <c r="AB6" i="21"/>
  <c r="AB7" i="21"/>
  <c r="AB9" i="21"/>
  <c r="AC2" i="21"/>
  <c r="BD6" i="21"/>
  <c r="BC30" i="21"/>
  <c r="BD30" i="21" s="1"/>
  <c r="BC29" i="21"/>
  <c r="BD29" i="21" s="1"/>
  <c r="BC18" i="21"/>
  <c r="BD18" i="21" s="1"/>
  <c r="BC19" i="21"/>
  <c r="BD19" i="21" s="1"/>
  <c r="BC21" i="21"/>
  <c r="BD21" i="21" s="1"/>
  <c r="BC22" i="21"/>
  <c r="BD22" i="21" s="1"/>
  <c r="BC15" i="21"/>
  <c r="BC6" i="21"/>
  <c r="BC7" i="21"/>
  <c r="BD7" i="21" s="1"/>
  <c r="BC9" i="21"/>
  <c r="BD9" i="21" s="1"/>
  <c r="E21" i="39"/>
  <c r="E30" i="39"/>
  <c r="E24" i="39"/>
  <c r="E22" i="39"/>
  <c r="E19" i="39"/>
  <c r="E6" i="39"/>
  <c r="G6" i="39"/>
  <c r="B16" i="2"/>
  <c r="G32" i="39"/>
  <c r="E32" i="39"/>
  <c r="H31" i="39"/>
  <c r="G25" i="39"/>
  <c r="H9" i="39"/>
  <c r="H7" i="39"/>
  <c r="H6" i="39"/>
  <c r="D21" i="12"/>
  <c r="D18" i="12"/>
  <c r="AA29" i="19" l="1"/>
  <c r="AF28" i="19"/>
  <c r="AK27" i="19"/>
  <c r="AK26" i="19"/>
  <c r="AK7" i="19"/>
  <c r="AF6" i="19"/>
  <c r="AF5" i="19"/>
  <c r="AA9" i="19"/>
  <c r="AK30" i="19"/>
  <c r="AA28" i="19"/>
  <c r="AF27" i="19"/>
  <c r="AF26" i="19"/>
  <c r="AK8" i="19"/>
  <c r="AF7" i="19"/>
  <c r="AA6" i="19"/>
  <c r="AA5" i="19"/>
  <c r="AF30" i="19"/>
  <c r="AK29" i="19"/>
  <c r="AA27" i="19"/>
  <c r="AA26" i="19"/>
  <c r="AK9" i="19"/>
  <c r="AF8" i="19"/>
  <c r="AA7" i="19"/>
  <c r="AA30" i="19"/>
  <c r="AK28" i="19"/>
  <c r="AF9" i="19"/>
  <c r="P29" i="19"/>
  <c r="K30" i="19"/>
  <c r="K26" i="19"/>
  <c r="F27" i="19"/>
  <c r="AA8" i="19"/>
  <c r="P28" i="19"/>
  <c r="K29" i="19"/>
  <c r="F30" i="19"/>
  <c r="F26" i="19"/>
  <c r="AF29" i="19"/>
  <c r="AK6" i="19"/>
  <c r="P27" i="19"/>
  <c r="K28" i="19"/>
  <c r="F29" i="19"/>
  <c r="F28" i="19"/>
  <c r="P6" i="19"/>
  <c r="K7" i="19"/>
  <c r="F7" i="19"/>
  <c r="P8" i="19"/>
  <c r="K9" i="19"/>
  <c r="F9" i="19"/>
  <c r="K5" i="19"/>
  <c r="P7" i="19"/>
  <c r="F8" i="19"/>
  <c r="AK5" i="19"/>
  <c r="P30" i="19"/>
  <c r="P9" i="19"/>
  <c r="K6" i="19"/>
  <c r="F6" i="19"/>
  <c r="K8" i="19"/>
  <c r="F5" i="19"/>
  <c r="BC16" i="21"/>
  <c r="BD16" i="21" s="1"/>
  <c r="P26" i="19"/>
  <c r="K27" i="19"/>
  <c r="G5" i="39"/>
  <c r="G8" i="39" s="1"/>
  <c r="BC17" i="21"/>
  <c r="BC20" i="21"/>
  <c r="BD17" i="21"/>
  <c r="E5" i="39"/>
  <c r="E8" i="39" s="1"/>
  <c r="BD20" i="21"/>
  <c r="AB24" i="21"/>
  <c r="BD15" i="21"/>
  <c r="E25" i="39"/>
  <c r="CE24" i="21" l="1"/>
  <c r="AC24" i="21"/>
  <c r="BC24" i="21"/>
  <c r="AC8" i="21"/>
  <c r="AC10" i="21" s="1"/>
  <c r="BD5" i="21"/>
  <c r="BD8" i="21" s="1"/>
  <c r="BD10" i="21" s="1"/>
  <c r="BC5" i="21"/>
  <c r="CD24" i="21"/>
  <c r="BD24" i="21"/>
  <c r="AC25" i="21" l="1"/>
  <c r="BD25" i="21"/>
  <c r="AB8" i="21"/>
  <c r="AB10" i="21" s="1"/>
  <c r="AB25" i="21" s="1"/>
  <c r="CD8" i="21"/>
  <c r="CD10" i="21" s="1"/>
  <c r="CD25" i="21" s="1"/>
  <c r="CE8" i="21"/>
  <c r="CE10" i="21" s="1"/>
  <c r="CE25" i="21" s="1"/>
  <c r="BC8" i="21"/>
  <c r="BC10" i="21" s="1"/>
  <c r="BC25" i="21" s="1"/>
  <c r="B10" i="5"/>
  <c r="S19" i="19" l="1"/>
  <c r="R19" i="19"/>
  <c r="R17" i="19"/>
  <c r="R15" i="19"/>
  <c r="S20" i="19"/>
  <c r="S17" i="19"/>
  <c r="R18" i="19"/>
  <c r="S15" i="19"/>
  <c r="R20" i="19"/>
  <c r="S16" i="19"/>
  <c r="S18" i="19"/>
  <c r="R16" i="19"/>
  <c r="AH20" i="19"/>
  <c r="AH18" i="19"/>
  <c r="AH16" i="19"/>
  <c r="AH19" i="19"/>
  <c r="AH17" i="19"/>
  <c r="AH15" i="19"/>
  <c r="AF13" i="19"/>
  <c r="AG17" i="19"/>
  <c r="AE14" i="19"/>
  <c r="AF11" i="19"/>
  <c r="AG20" i="19"/>
  <c r="AG16" i="19"/>
  <c r="AE13" i="19"/>
  <c r="AE11" i="19"/>
  <c r="AG19" i="19"/>
  <c r="AG15" i="19"/>
  <c r="AF12" i="19"/>
  <c r="AF10" i="19"/>
  <c r="AG18" i="19"/>
  <c r="AE12" i="19"/>
  <c r="AF14" i="19"/>
  <c r="AE10" i="19"/>
  <c r="AK13" i="19"/>
  <c r="AK11" i="19"/>
  <c r="AN20" i="19"/>
  <c r="AN18" i="19"/>
  <c r="AN16" i="19"/>
  <c r="AJ13" i="19"/>
  <c r="AJ11" i="19"/>
  <c r="AM20" i="19"/>
  <c r="AM18" i="19"/>
  <c r="AM16" i="19"/>
  <c r="AK14" i="19"/>
  <c r="AK12" i="19"/>
  <c r="AK10" i="19"/>
  <c r="AN19" i="19"/>
  <c r="AN17" i="19"/>
  <c r="AN15" i="19"/>
  <c r="AJ10" i="19"/>
  <c r="AM19" i="19"/>
  <c r="AJ14" i="19"/>
  <c r="AM17" i="19"/>
  <c r="AM15" i="19"/>
  <c r="AJ12" i="19"/>
  <c r="AC32" i="21"/>
  <c r="AA20" i="19"/>
  <c r="AA18" i="19"/>
  <c r="AA16" i="19"/>
  <c r="Z13" i="19"/>
  <c r="Z11" i="19"/>
  <c r="AB19" i="19"/>
  <c r="AB17" i="19"/>
  <c r="AB15" i="19"/>
  <c r="AA14" i="19"/>
  <c r="AA12" i="19"/>
  <c r="AA10" i="19"/>
  <c r="AA19" i="19"/>
  <c r="AA17" i="19"/>
  <c r="AA15" i="19"/>
  <c r="Z14" i="19"/>
  <c r="Z12" i="19"/>
  <c r="Z10" i="19"/>
  <c r="AB16" i="19"/>
  <c r="AB20" i="19"/>
  <c r="AA11" i="19"/>
  <c r="AB18" i="19"/>
  <c r="AA13" i="19"/>
  <c r="M20" i="19"/>
  <c r="M16" i="19"/>
  <c r="L18" i="19"/>
  <c r="M19" i="19"/>
  <c r="M15" i="19"/>
  <c r="L17" i="19"/>
  <c r="M18" i="19"/>
  <c r="L20" i="19"/>
  <c r="L16" i="19"/>
  <c r="M17" i="19"/>
  <c r="L19" i="19"/>
  <c r="L15" i="19"/>
  <c r="F19" i="19"/>
  <c r="F17" i="19"/>
  <c r="F15" i="19"/>
  <c r="G20" i="19"/>
  <c r="G18" i="19"/>
  <c r="G16" i="19"/>
  <c r="F20" i="19"/>
  <c r="F18" i="19"/>
  <c r="F16" i="19"/>
  <c r="G19" i="19"/>
  <c r="G17" i="19"/>
  <c r="G15" i="19"/>
  <c r="E14" i="19"/>
  <c r="E10" i="19"/>
  <c r="F12" i="19"/>
  <c r="F11" i="19"/>
  <c r="E13" i="19"/>
  <c r="E12" i="19"/>
  <c r="E11" i="19"/>
  <c r="F14" i="19"/>
  <c r="F10" i="19"/>
  <c r="F13" i="19"/>
  <c r="O13" i="19"/>
  <c r="O12" i="19"/>
  <c r="O10" i="19"/>
  <c r="P11" i="19"/>
  <c r="O11" i="19"/>
  <c r="P13" i="19"/>
  <c r="P10" i="19"/>
  <c r="P14" i="19"/>
  <c r="O14" i="19"/>
  <c r="P12" i="19"/>
  <c r="K14" i="19"/>
  <c r="K12" i="19"/>
  <c r="K11" i="19"/>
  <c r="K13" i="19"/>
  <c r="J14" i="19"/>
  <c r="J12" i="19"/>
  <c r="J11" i="19"/>
  <c r="K10" i="19"/>
  <c r="J13" i="19"/>
  <c r="J10" i="19"/>
  <c r="CE32" i="21"/>
  <c r="CD32" i="21"/>
  <c r="BC32" i="21"/>
  <c r="AB32" i="21"/>
  <c r="BD32" i="21"/>
  <c r="A3" i="38"/>
  <c r="N3" i="38" s="1"/>
  <c r="M39" i="19" l="1"/>
  <c r="L38" i="19"/>
  <c r="M36" i="19"/>
  <c r="L39" i="19"/>
  <c r="M37" i="19"/>
  <c r="L36" i="19"/>
  <c r="J35" i="19"/>
  <c r="K32" i="19"/>
  <c r="J31" i="19"/>
  <c r="L41" i="19"/>
  <c r="M40" i="19"/>
  <c r="L37" i="19"/>
  <c r="K33" i="19"/>
  <c r="J32" i="19"/>
  <c r="K31" i="19"/>
  <c r="L40" i="19"/>
  <c r="K35" i="19"/>
  <c r="M41" i="19"/>
  <c r="K34" i="19"/>
  <c r="J33" i="19"/>
  <c r="M38" i="19"/>
  <c r="J34" i="19"/>
  <c r="AM41" i="19"/>
  <c r="AM39" i="19"/>
  <c r="AM37" i="19"/>
  <c r="AJ35" i="19"/>
  <c r="AK32" i="19"/>
  <c r="AJ31" i="19"/>
  <c r="AN40" i="19"/>
  <c r="AN38" i="19"/>
  <c r="AN36" i="19"/>
  <c r="AK33" i="19"/>
  <c r="AJ32" i="19"/>
  <c r="AN39" i="19"/>
  <c r="AK35" i="19"/>
  <c r="AJ34" i="19"/>
  <c r="AM38" i="19"/>
  <c r="AN41" i="19"/>
  <c r="AN37" i="19"/>
  <c r="AK31" i="19"/>
  <c r="AJ33" i="19"/>
  <c r="AM40" i="19"/>
  <c r="AM36" i="19"/>
  <c r="AK34" i="19"/>
  <c r="S40" i="19"/>
  <c r="R37" i="19"/>
  <c r="R40" i="19"/>
  <c r="S38" i="19"/>
  <c r="S36" i="19"/>
  <c r="P33" i="19"/>
  <c r="O32" i="19"/>
  <c r="S41" i="19"/>
  <c r="S39" i="19"/>
  <c r="R38" i="19"/>
  <c r="R36" i="19"/>
  <c r="P34" i="19"/>
  <c r="O33" i="19"/>
  <c r="P35" i="19"/>
  <c r="O34" i="19"/>
  <c r="R41" i="19"/>
  <c r="O35" i="19"/>
  <c r="R39" i="19"/>
  <c r="S37" i="19"/>
  <c r="P31" i="19"/>
  <c r="P32" i="19"/>
  <c r="O31" i="19"/>
  <c r="AG40" i="19"/>
  <c r="AG38" i="19"/>
  <c r="AG36" i="19"/>
  <c r="AF35" i="19"/>
  <c r="AE34" i="19"/>
  <c r="AF31" i="19"/>
  <c r="AH41" i="19"/>
  <c r="AH39" i="19"/>
  <c r="AH37" i="19"/>
  <c r="AE35" i="19"/>
  <c r="AF32" i="19"/>
  <c r="AE31" i="19"/>
  <c r="AH38" i="19"/>
  <c r="AG41" i="19"/>
  <c r="AG37" i="19"/>
  <c r="AF33" i="19"/>
  <c r="AE32" i="19"/>
  <c r="AH40" i="19"/>
  <c r="AH36" i="19"/>
  <c r="AF34" i="19"/>
  <c r="AE33" i="19"/>
  <c r="AG39" i="19"/>
  <c r="G40" i="19"/>
  <c r="F37" i="19"/>
  <c r="G39" i="19"/>
  <c r="F40" i="19"/>
  <c r="G38" i="19"/>
  <c r="G36" i="19"/>
  <c r="F35" i="19"/>
  <c r="E34" i="19"/>
  <c r="F31" i="19"/>
  <c r="F39" i="19"/>
  <c r="G41" i="19"/>
  <c r="F38" i="19"/>
  <c r="F36" i="19"/>
  <c r="E35" i="19"/>
  <c r="F32" i="19"/>
  <c r="E31" i="19"/>
  <c r="F41" i="19"/>
  <c r="F33" i="19"/>
  <c r="E32" i="19"/>
  <c r="G37" i="19"/>
  <c r="F34" i="19"/>
  <c r="E33" i="19"/>
  <c r="AA41" i="19"/>
  <c r="AA39" i="19"/>
  <c r="AA37" i="19"/>
  <c r="AA34" i="19"/>
  <c r="Z33" i="19"/>
  <c r="AB40" i="19"/>
  <c r="AB38" i="19"/>
  <c r="AB36" i="19"/>
  <c r="AA35" i="19"/>
  <c r="Z34" i="19"/>
  <c r="AA31" i="19"/>
  <c r="AB41" i="19"/>
  <c r="AB37" i="19"/>
  <c r="AA33" i="19"/>
  <c r="Z32" i="19"/>
  <c r="AA40" i="19"/>
  <c r="AA36" i="19"/>
  <c r="Z35" i="19"/>
  <c r="AB39" i="19"/>
  <c r="Z31" i="19"/>
  <c r="AA32" i="19"/>
  <c r="AA38" i="19"/>
  <c r="CB6" i="21"/>
  <c r="CA30" i="21"/>
  <c r="CB30" i="21" s="1"/>
  <c r="CA29" i="21"/>
  <c r="CB29" i="21" s="1"/>
  <c r="CA16" i="21"/>
  <c r="CB16" i="21" s="1"/>
  <c r="CA18" i="21"/>
  <c r="CB18" i="21" s="1"/>
  <c r="CA19" i="21"/>
  <c r="CB19" i="21" s="1"/>
  <c r="CA21" i="21"/>
  <c r="CB21" i="21" s="1"/>
  <c r="CA22" i="21"/>
  <c r="CB22" i="21" s="1"/>
  <c r="CA23" i="21"/>
  <c r="CB23" i="21" s="1"/>
  <c r="CA15" i="21"/>
  <c r="CB15" i="21" s="1"/>
  <c r="CA7" i="21"/>
  <c r="CB7" i="21" s="1"/>
  <c r="CA6" i="21"/>
  <c r="BY6" i="21"/>
  <c r="BX30" i="21"/>
  <c r="BY30" i="21" s="1"/>
  <c r="BX29" i="21"/>
  <c r="BY29" i="21" s="1"/>
  <c r="BX16" i="21"/>
  <c r="BY16" i="21" s="1"/>
  <c r="BX18" i="21"/>
  <c r="BY18" i="21" s="1"/>
  <c r="BX19" i="21"/>
  <c r="BY19" i="21" s="1"/>
  <c r="BX21" i="21"/>
  <c r="BY21" i="21" s="1"/>
  <c r="BX22" i="21"/>
  <c r="BY22" i="21" s="1"/>
  <c r="BX23" i="21"/>
  <c r="BY23" i="21" s="1"/>
  <c r="BX15" i="21"/>
  <c r="BY15" i="21" s="1"/>
  <c r="BX7" i="21"/>
  <c r="BY7" i="21" s="1"/>
  <c r="BX6" i="21"/>
  <c r="BV6" i="21"/>
  <c r="BV7" i="21"/>
  <c r="BU30" i="21"/>
  <c r="BV30" i="21" s="1"/>
  <c r="BU29" i="21"/>
  <c r="BV29" i="21" s="1"/>
  <c r="BU16" i="21"/>
  <c r="BV16" i="21" s="1"/>
  <c r="BU18" i="21"/>
  <c r="BV18" i="21" s="1"/>
  <c r="BU19" i="21"/>
  <c r="BV19" i="21" s="1"/>
  <c r="BU21" i="21"/>
  <c r="BV21" i="21" s="1"/>
  <c r="BU22" i="21"/>
  <c r="BV22" i="21" s="1"/>
  <c r="BU23" i="21"/>
  <c r="BV23" i="21" s="1"/>
  <c r="BU15" i="21"/>
  <c r="BV15" i="21" s="1"/>
  <c r="BU7" i="21"/>
  <c r="BU6" i="21"/>
  <c r="BS6" i="21"/>
  <c r="BR30" i="21"/>
  <c r="BS30" i="21" s="1"/>
  <c r="BR29" i="21"/>
  <c r="BS29" i="21" s="1"/>
  <c r="BR16" i="21"/>
  <c r="BS16" i="21" s="1"/>
  <c r="BR18" i="21"/>
  <c r="BS18" i="21" s="1"/>
  <c r="BR19" i="21"/>
  <c r="BS19" i="21" s="1"/>
  <c r="BR21" i="21"/>
  <c r="BS21" i="21" s="1"/>
  <c r="BR22" i="21"/>
  <c r="BS22" i="21" s="1"/>
  <c r="BR23" i="21"/>
  <c r="BS23" i="21" s="1"/>
  <c r="BR15" i="21"/>
  <c r="BS15" i="21" s="1"/>
  <c r="BR7" i="21"/>
  <c r="BS7" i="21" s="1"/>
  <c r="BR6" i="21"/>
  <c r="BP6" i="21"/>
  <c r="BO30" i="21"/>
  <c r="BP30" i="21" s="1"/>
  <c r="BO29" i="21"/>
  <c r="BP29" i="21" s="1"/>
  <c r="BO16" i="21"/>
  <c r="BP16" i="21" s="1"/>
  <c r="BO18" i="21"/>
  <c r="BP18" i="21" s="1"/>
  <c r="BO19" i="21"/>
  <c r="BP19" i="21" s="1"/>
  <c r="BO21" i="21"/>
  <c r="BP21" i="21" s="1"/>
  <c r="BO22" i="21"/>
  <c r="BP22" i="21" s="1"/>
  <c r="BO23" i="21"/>
  <c r="BP23" i="21" s="1"/>
  <c r="BO15" i="21"/>
  <c r="BP15" i="21" s="1"/>
  <c r="BO7" i="21"/>
  <c r="BP7" i="21" s="1"/>
  <c r="BO6" i="21"/>
  <c r="BM6" i="21"/>
  <c r="BL30" i="21"/>
  <c r="BM30" i="21" s="1"/>
  <c r="BL29" i="21"/>
  <c r="BM29" i="21" s="1"/>
  <c r="BL16" i="21"/>
  <c r="BM16" i="21" s="1"/>
  <c r="BL18" i="21"/>
  <c r="BM18" i="21" s="1"/>
  <c r="BL19" i="21"/>
  <c r="BM19" i="21" s="1"/>
  <c r="BL21" i="21"/>
  <c r="BM21" i="21" s="1"/>
  <c r="BL22" i="21"/>
  <c r="BM22" i="21" s="1"/>
  <c r="BL23" i="21"/>
  <c r="BM23" i="21" s="1"/>
  <c r="BL15" i="21"/>
  <c r="BM15" i="21" s="1"/>
  <c r="BL7" i="21"/>
  <c r="BM7" i="21" s="1"/>
  <c r="BL6" i="21"/>
  <c r="BJ30" i="21"/>
  <c r="BJ6" i="21"/>
  <c r="BI30" i="21"/>
  <c r="BI29" i="21"/>
  <c r="BJ29" i="21" s="1"/>
  <c r="BI16" i="21"/>
  <c r="BJ16" i="21" s="1"/>
  <c r="BI18" i="21"/>
  <c r="BJ18" i="21" s="1"/>
  <c r="BI19" i="21"/>
  <c r="BJ19" i="21" s="1"/>
  <c r="BI21" i="21"/>
  <c r="BJ21" i="21" s="1"/>
  <c r="BI22" i="21"/>
  <c r="BJ22" i="21" s="1"/>
  <c r="BI23" i="21"/>
  <c r="BJ23" i="21" s="1"/>
  <c r="BI15" i="21"/>
  <c r="BJ15" i="21" s="1"/>
  <c r="BI7" i="21"/>
  <c r="BJ7" i="21" s="1"/>
  <c r="BI6" i="21"/>
  <c r="BG7" i="21"/>
  <c r="BG6" i="21"/>
  <c r="BF30" i="21"/>
  <c r="BG30" i="21" s="1"/>
  <c r="BF29" i="21"/>
  <c r="BG29" i="21" s="1"/>
  <c r="BF18" i="21"/>
  <c r="BG18" i="21" s="1"/>
  <c r="BF19" i="21"/>
  <c r="BG19" i="21" s="1"/>
  <c r="BF21" i="21"/>
  <c r="BG21" i="21" s="1"/>
  <c r="BF22" i="21"/>
  <c r="BG22" i="21" s="1"/>
  <c r="BF23" i="21"/>
  <c r="BG23" i="21" s="1"/>
  <c r="BF7" i="21"/>
  <c r="BF6" i="21"/>
  <c r="BA6" i="21"/>
  <c r="AZ30" i="21"/>
  <c r="BA30" i="21" s="1"/>
  <c r="AZ29" i="21"/>
  <c r="BA29" i="21" s="1"/>
  <c r="AZ16" i="21"/>
  <c r="BA16" i="21" s="1"/>
  <c r="AZ18" i="21"/>
  <c r="BA18" i="21" s="1"/>
  <c r="AZ19" i="21"/>
  <c r="BA19" i="21" s="1"/>
  <c r="AZ21" i="21"/>
  <c r="BA21" i="21" s="1"/>
  <c r="AZ22" i="21"/>
  <c r="BA22" i="21" s="1"/>
  <c r="AZ23" i="21"/>
  <c r="BA23" i="21" s="1"/>
  <c r="AZ15" i="21"/>
  <c r="BA15" i="21" s="1"/>
  <c r="AZ7" i="21"/>
  <c r="BA7" i="21" s="1"/>
  <c r="AZ6" i="21"/>
  <c r="AX7" i="21"/>
  <c r="AX6" i="21"/>
  <c r="AW30" i="21"/>
  <c r="AX30" i="21" s="1"/>
  <c r="AW29" i="21"/>
  <c r="AX29" i="21" s="1"/>
  <c r="AW16" i="21"/>
  <c r="AX16" i="21" s="1"/>
  <c r="AW18" i="21"/>
  <c r="AX18" i="21" s="1"/>
  <c r="AW19" i="21"/>
  <c r="AX19" i="21" s="1"/>
  <c r="AW21" i="21"/>
  <c r="AX21" i="21" s="1"/>
  <c r="AW22" i="21"/>
  <c r="AX22" i="21" s="1"/>
  <c r="AW23" i="21"/>
  <c r="AX23" i="21" s="1"/>
  <c r="AW15" i="21"/>
  <c r="AX15" i="21" s="1"/>
  <c r="AW7" i="21"/>
  <c r="AW6" i="21"/>
  <c r="AU7" i="21"/>
  <c r="AU6" i="21"/>
  <c r="AT30" i="21"/>
  <c r="AU30" i="21" s="1"/>
  <c r="AT29" i="21"/>
  <c r="AU29" i="21" s="1"/>
  <c r="AT16" i="21"/>
  <c r="AU16" i="21" s="1"/>
  <c r="AT18" i="21"/>
  <c r="AU18" i="21" s="1"/>
  <c r="AT19" i="21"/>
  <c r="AU19" i="21" s="1"/>
  <c r="AT21" i="21"/>
  <c r="AU21" i="21" s="1"/>
  <c r="AT22" i="21"/>
  <c r="AU22" i="21" s="1"/>
  <c r="AT23" i="21"/>
  <c r="AU23" i="21" s="1"/>
  <c r="AT15" i="21"/>
  <c r="AU15" i="21" s="1"/>
  <c r="AT7" i="21"/>
  <c r="AT6" i="21"/>
  <c r="AR6" i="21"/>
  <c r="AQ30" i="21"/>
  <c r="AR30" i="21" s="1"/>
  <c r="AQ29" i="21"/>
  <c r="AR29" i="21" s="1"/>
  <c r="AQ16" i="21"/>
  <c r="AR16" i="21" s="1"/>
  <c r="AQ18" i="21"/>
  <c r="AR18" i="21" s="1"/>
  <c r="AQ19" i="21"/>
  <c r="AR19" i="21" s="1"/>
  <c r="AQ21" i="21"/>
  <c r="AR21" i="21" s="1"/>
  <c r="AQ22" i="21"/>
  <c r="AR22" i="21" s="1"/>
  <c r="AQ23" i="21"/>
  <c r="AR23" i="21" s="1"/>
  <c r="AQ15" i="21"/>
  <c r="AR15" i="21" s="1"/>
  <c r="AQ6" i="21"/>
  <c r="AQ7" i="21"/>
  <c r="AR7" i="21" s="1"/>
  <c r="AO6" i="21"/>
  <c r="AO7" i="21"/>
  <c r="AN30" i="21"/>
  <c r="AO30" i="21" s="1"/>
  <c r="AN29" i="21"/>
  <c r="AO29" i="21" s="1"/>
  <c r="AN16" i="21"/>
  <c r="AO16" i="21" s="1"/>
  <c r="AN18" i="21"/>
  <c r="AO18" i="21" s="1"/>
  <c r="AN19" i="21"/>
  <c r="AO19" i="21" s="1"/>
  <c r="AN21" i="21"/>
  <c r="AO21" i="21" s="1"/>
  <c r="AN22" i="21"/>
  <c r="AO22" i="21" s="1"/>
  <c r="AN23" i="21"/>
  <c r="AO23" i="21" s="1"/>
  <c r="AN15" i="21"/>
  <c r="AO15" i="21" s="1"/>
  <c r="AN6" i="21"/>
  <c r="AN7" i="21"/>
  <c r="AL6" i="21"/>
  <c r="AK30" i="21"/>
  <c r="AL30" i="21" s="1"/>
  <c r="AK29" i="21"/>
  <c r="AL29" i="21" s="1"/>
  <c r="AK16" i="21"/>
  <c r="AL16" i="21" s="1"/>
  <c r="AK18" i="21"/>
  <c r="AL18" i="21" s="1"/>
  <c r="AK19" i="21"/>
  <c r="AL19" i="21" s="1"/>
  <c r="AK21" i="21"/>
  <c r="AL21" i="21" s="1"/>
  <c r="AK22" i="21"/>
  <c r="AL22" i="21" s="1"/>
  <c r="AK23" i="21"/>
  <c r="AL23" i="21" s="1"/>
  <c r="AK15" i="21"/>
  <c r="AL15" i="21" s="1"/>
  <c r="AK7" i="21"/>
  <c r="AL7" i="21" s="1"/>
  <c r="AK6" i="21"/>
  <c r="AI6" i="21"/>
  <c r="AH30" i="21"/>
  <c r="AI30" i="21" s="1"/>
  <c r="AH29" i="21"/>
  <c r="AI29" i="21" s="1"/>
  <c r="AH22" i="21"/>
  <c r="AI22" i="21" s="1"/>
  <c r="AH23" i="21"/>
  <c r="AI23" i="21" s="1"/>
  <c r="AH21" i="21"/>
  <c r="AI21" i="21" s="1"/>
  <c r="AH16" i="21"/>
  <c r="AI16" i="21" s="1"/>
  <c r="AH18" i="21"/>
  <c r="AI18" i="21" s="1"/>
  <c r="AH19" i="21"/>
  <c r="AI19" i="21" s="1"/>
  <c r="AH15" i="21"/>
  <c r="AI15" i="21" s="1"/>
  <c r="AH7" i="21"/>
  <c r="AI7" i="21" s="1"/>
  <c r="AH6" i="21"/>
  <c r="AF6" i="21"/>
  <c r="AE30" i="21"/>
  <c r="AF30" i="21" s="1"/>
  <c r="AE29" i="21"/>
  <c r="AF29" i="21" s="1"/>
  <c r="AE22" i="21"/>
  <c r="AF22" i="21" s="1"/>
  <c r="AE23" i="21"/>
  <c r="AF23" i="21" s="1"/>
  <c r="AE21" i="21"/>
  <c r="AF21" i="21" s="1"/>
  <c r="AE19" i="21"/>
  <c r="AF19" i="21" s="1"/>
  <c r="AE18" i="21"/>
  <c r="AE7" i="21"/>
  <c r="AF7" i="21" s="1"/>
  <c r="AE6" i="21"/>
  <c r="Z6" i="21"/>
  <c r="Y30" i="21"/>
  <c r="Z30" i="21" s="1"/>
  <c r="Y29" i="21"/>
  <c r="Z29" i="21" s="1"/>
  <c r="Y16" i="21"/>
  <c r="Z16" i="21" s="1"/>
  <c r="Y18" i="21"/>
  <c r="Z18" i="21" s="1"/>
  <c r="Y19" i="21"/>
  <c r="Z19" i="21" s="1"/>
  <c r="Y21" i="21"/>
  <c r="Z21" i="21" s="1"/>
  <c r="Y22" i="21"/>
  <c r="Z22" i="21" s="1"/>
  <c r="Y23" i="21"/>
  <c r="Z23" i="21" s="1"/>
  <c r="Y15" i="21"/>
  <c r="Z15" i="21" s="1"/>
  <c r="Y6" i="21"/>
  <c r="Y7" i="21"/>
  <c r="Z7" i="21" s="1"/>
  <c r="W6" i="21"/>
  <c r="V30" i="21"/>
  <c r="W30" i="21" s="1"/>
  <c r="V29" i="21"/>
  <c r="W29" i="21" s="1"/>
  <c r="V16" i="21"/>
  <c r="W16" i="21" s="1"/>
  <c r="V18" i="21"/>
  <c r="W18" i="21" s="1"/>
  <c r="V19" i="21"/>
  <c r="W19" i="21" s="1"/>
  <c r="V21" i="21"/>
  <c r="W21" i="21" s="1"/>
  <c r="V22" i="21"/>
  <c r="W22" i="21" s="1"/>
  <c r="V23" i="21"/>
  <c r="W23" i="21" s="1"/>
  <c r="V15" i="21"/>
  <c r="W15" i="21" s="1"/>
  <c r="V6" i="21"/>
  <c r="V7" i="21"/>
  <c r="W7" i="21" s="1"/>
  <c r="T6" i="21"/>
  <c r="T7" i="21"/>
  <c r="S30" i="21"/>
  <c r="T30" i="21" s="1"/>
  <c r="S29" i="21"/>
  <c r="T29" i="21" s="1"/>
  <c r="S16" i="21"/>
  <c r="T16" i="21" s="1"/>
  <c r="S18" i="21"/>
  <c r="T18" i="21" s="1"/>
  <c r="S19" i="21"/>
  <c r="T19" i="21" s="1"/>
  <c r="S21" i="21"/>
  <c r="T21" i="21" s="1"/>
  <c r="S22" i="21"/>
  <c r="T22" i="21" s="1"/>
  <c r="S23" i="21"/>
  <c r="T23" i="21" s="1"/>
  <c r="S15" i="21"/>
  <c r="T15" i="21" s="1"/>
  <c r="S6" i="21"/>
  <c r="S7" i="21"/>
  <c r="Q30" i="21"/>
  <c r="Q6" i="21"/>
  <c r="P30" i="21"/>
  <c r="P29" i="21"/>
  <c r="Q29" i="21" s="1"/>
  <c r="P16" i="21"/>
  <c r="Q16" i="21" s="1"/>
  <c r="P18" i="21"/>
  <c r="Q18" i="21" s="1"/>
  <c r="P19" i="21"/>
  <c r="Q19" i="21" s="1"/>
  <c r="P21" i="21"/>
  <c r="Q21" i="21" s="1"/>
  <c r="P22" i="21"/>
  <c r="Q22" i="21" s="1"/>
  <c r="P23" i="21"/>
  <c r="Q23" i="21" s="1"/>
  <c r="P15" i="21"/>
  <c r="Q15" i="21" s="1"/>
  <c r="P6" i="21"/>
  <c r="P7" i="21"/>
  <c r="Q7" i="21" s="1"/>
  <c r="N6" i="21"/>
  <c r="M30" i="21"/>
  <c r="N30" i="21" s="1"/>
  <c r="M29" i="21"/>
  <c r="N29" i="21" s="1"/>
  <c r="M16" i="21"/>
  <c r="N16" i="21" s="1"/>
  <c r="M18" i="21"/>
  <c r="N18" i="21" s="1"/>
  <c r="M19" i="21"/>
  <c r="N19" i="21" s="1"/>
  <c r="M21" i="21"/>
  <c r="N21" i="21" s="1"/>
  <c r="M22" i="21"/>
  <c r="N22" i="21" s="1"/>
  <c r="M23" i="21"/>
  <c r="N23" i="21" s="1"/>
  <c r="M15" i="21"/>
  <c r="N15" i="21" s="1"/>
  <c r="M6" i="21"/>
  <c r="M7" i="21"/>
  <c r="N7" i="21" s="1"/>
  <c r="K6" i="21"/>
  <c r="J30" i="21"/>
  <c r="K30" i="21" s="1"/>
  <c r="J29" i="21"/>
  <c r="K29" i="21" s="1"/>
  <c r="J16" i="21"/>
  <c r="K16" i="21" s="1"/>
  <c r="J18" i="21"/>
  <c r="K18" i="21" s="1"/>
  <c r="J19" i="21"/>
  <c r="K19" i="21" s="1"/>
  <c r="J21" i="21"/>
  <c r="K21" i="21" s="1"/>
  <c r="J22" i="21"/>
  <c r="K22" i="21" s="1"/>
  <c r="J23" i="21"/>
  <c r="K23" i="21" s="1"/>
  <c r="J15" i="21"/>
  <c r="K15" i="21" s="1"/>
  <c r="J6" i="21"/>
  <c r="J7" i="21"/>
  <c r="K7" i="21" s="1"/>
  <c r="H6" i="21"/>
  <c r="G30" i="21"/>
  <c r="H30" i="21" s="1"/>
  <c r="G29" i="21"/>
  <c r="H29" i="21" s="1"/>
  <c r="G16" i="21"/>
  <c r="H16" i="21" s="1"/>
  <c r="G18" i="21"/>
  <c r="H18" i="21" s="1"/>
  <c r="G19" i="21"/>
  <c r="H19" i="21" s="1"/>
  <c r="G21" i="21"/>
  <c r="H21" i="21" s="1"/>
  <c r="G22" i="21"/>
  <c r="H22" i="21" s="1"/>
  <c r="G23" i="21"/>
  <c r="H23" i="21" s="1"/>
  <c r="G15" i="21"/>
  <c r="G6" i="21"/>
  <c r="G7" i="21"/>
  <c r="H7" i="21" s="1"/>
  <c r="E6" i="21"/>
  <c r="D16" i="21"/>
  <c r="D18" i="21"/>
  <c r="D19" i="21"/>
  <c r="E19" i="21" s="1"/>
  <c r="D21" i="21"/>
  <c r="E21" i="21" s="1"/>
  <c r="D22" i="21"/>
  <c r="E22" i="21" s="1"/>
  <c r="D23" i="21"/>
  <c r="E23" i="21" s="1"/>
  <c r="D6" i="21"/>
  <c r="D7" i="21"/>
  <c r="E7" i="21" s="1"/>
  <c r="G32" i="37"/>
  <c r="E32" i="37"/>
  <c r="H31" i="37"/>
  <c r="H30" i="37"/>
  <c r="G25" i="37"/>
  <c r="E25" i="37"/>
  <c r="H24" i="37"/>
  <c r="H23" i="37"/>
  <c r="H22" i="37"/>
  <c r="H21" i="37"/>
  <c r="H17" i="37"/>
  <c r="H16" i="37"/>
  <c r="H9" i="37"/>
  <c r="H7" i="37"/>
  <c r="G6" i="37"/>
  <c r="H6" i="37" s="1"/>
  <c r="E6" i="37"/>
  <c r="G6" i="36"/>
  <c r="E6" i="36"/>
  <c r="G32" i="36"/>
  <c r="E32" i="36"/>
  <c r="H31" i="36"/>
  <c r="G25" i="36"/>
  <c r="E25" i="36"/>
  <c r="H9" i="36"/>
  <c r="H7" i="36"/>
  <c r="H6" i="36"/>
  <c r="E16" i="35"/>
  <c r="G32" i="35"/>
  <c r="E32" i="35"/>
  <c r="H31" i="35"/>
  <c r="G25" i="35"/>
  <c r="E25" i="35"/>
  <c r="H9" i="35"/>
  <c r="H7" i="35"/>
  <c r="H6" i="35"/>
  <c r="G6" i="35"/>
  <c r="E6" i="35"/>
  <c r="E16" i="34"/>
  <c r="G6" i="34"/>
  <c r="E6" i="34"/>
  <c r="G32" i="34"/>
  <c r="E32" i="34"/>
  <c r="H31" i="34"/>
  <c r="H30" i="34"/>
  <c r="G25" i="34"/>
  <c r="E25" i="34"/>
  <c r="H24" i="34"/>
  <c r="H23" i="34"/>
  <c r="H22" i="34"/>
  <c r="H21" i="34"/>
  <c r="H17" i="34"/>
  <c r="H16" i="34"/>
  <c r="H9" i="34"/>
  <c r="H7" i="34"/>
  <c r="H15" i="21" l="1"/>
  <c r="H6" i="34"/>
  <c r="B7" i="5" l="1"/>
  <c r="D21" i="33"/>
  <c r="D18" i="33"/>
  <c r="G6" i="33"/>
  <c r="H6" i="33" s="1"/>
  <c r="E6" i="33"/>
  <c r="G32" i="33"/>
  <c r="E32" i="33"/>
  <c r="H31" i="33"/>
  <c r="H30" i="33"/>
  <c r="G25" i="33"/>
  <c r="E25" i="33"/>
  <c r="H24" i="33"/>
  <c r="H23" i="33"/>
  <c r="H22" i="33"/>
  <c r="H21" i="33"/>
  <c r="H17" i="33"/>
  <c r="H16" i="33"/>
  <c r="H9" i="33"/>
  <c r="H7" i="33"/>
  <c r="G6" i="32"/>
  <c r="H6" i="32" s="1"/>
  <c r="E6" i="32"/>
  <c r="G6" i="31"/>
  <c r="E6" i="31"/>
  <c r="G32" i="32"/>
  <c r="E32" i="32"/>
  <c r="G25" i="32"/>
  <c r="E25" i="32"/>
  <c r="H9" i="32"/>
  <c r="H7" i="32"/>
  <c r="G32" i="31"/>
  <c r="E32" i="31"/>
  <c r="G25" i="31"/>
  <c r="E25" i="31"/>
  <c r="H9" i="31"/>
  <c r="H7" i="31"/>
  <c r="H6" i="31"/>
  <c r="H9" i="12" l="1"/>
  <c r="G32" i="12" l="1"/>
  <c r="G25" i="12"/>
  <c r="E25" i="12"/>
  <c r="H31" i="12"/>
  <c r="H7" i="12"/>
  <c r="BY2" i="21" l="1"/>
  <c r="CB2" i="21" s="1"/>
  <c r="AX2" i="21"/>
  <c r="BA2" i="21" s="1"/>
  <c r="BD2" i="21" s="1"/>
  <c r="B29" i="2"/>
  <c r="B28" i="2" l="1"/>
  <c r="B14" i="2"/>
  <c r="AW17" i="21" l="1"/>
  <c r="AX20" i="21"/>
  <c r="AX17" i="21"/>
  <c r="AW20" i="21"/>
  <c r="E5" i="36"/>
  <c r="E8" i="36" s="1"/>
  <c r="E10" i="36" s="1"/>
  <c r="G5" i="36"/>
  <c r="G8" i="36" s="1"/>
  <c r="AX24" i="21" l="1"/>
  <c r="W24" i="21"/>
  <c r="AW24" i="21"/>
  <c r="AW5" i="21"/>
  <c r="W8" i="21"/>
  <c r="BY8" i="21"/>
  <c r="AX5" i="21"/>
  <c r="AX8" i="21" s="1"/>
  <c r="BX24" i="21"/>
  <c r="BY24" i="21"/>
  <c r="G10" i="36"/>
  <c r="G12" i="36" s="1"/>
  <c r="G27" i="36" s="1"/>
  <c r="G34" i="36" s="1"/>
  <c r="H5" i="36"/>
  <c r="V24" i="21"/>
  <c r="E12" i="36"/>
  <c r="E27" i="36" s="1"/>
  <c r="E34" i="36" s="1"/>
  <c r="V8" i="21"/>
  <c r="AW8" i="21" l="1"/>
  <c r="BX8" i="21"/>
  <c r="B27" i="2"/>
  <c r="B26" i="2"/>
  <c r="B25" i="2"/>
  <c r="B24" i="2"/>
  <c r="B23" i="2"/>
  <c r="B22" i="2"/>
  <c r="B12" i="2"/>
  <c r="B11" i="2"/>
  <c r="B10" i="2"/>
  <c r="B9" i="2"/>
  <c r="B8" i="2"/>
  <c r="D30" i="21"/>
  <c r="D29" i="21"/>
  <c r="E5" i="12" l="1"/>
  <c r="AO20" i="21"/>
  <c r="AO17" i="21"/>
  <c r="AN20" i="21"/>
  <c r="BO24" i="21"/>
  <c r="AN17" i="21"/>
  <c r="AU20" i="21"/>
  <c r="AT17" i="21"/>
  <c r="AU17" i="21"/>
  <c r="AT20" i="21"/>
  <c r="AL20" i="21"/>
  <c r="AK17" i="21"/>
  <c r="AL17" i="21"/>
  <c r="AK20" i="21"/>
  <c r="G5" i="32"/>
  <c r="E5" i="32"/>
  <c r="E5" i="33"/>
  <c r="G5" i="33"/>
  <c r="E5" i="35"/>
  <c r="G5" i="35"/>
  <c r="V9" i="21"/>
  <c r="BX9" i="21"/>
  <c r="AW9" i="21"/>
  <c r="E5" i="31"/>
  <c r="E8" i="31" s="1"/>
  <c r="E10" i="31" s="1"/>
  <c r="AI17" i="21"/>
  <c r="AH20" i="21"/>
  <c r="AI20" i="21"/>
  <c r="AH17" i="21"/>
  <c r="G5" i="31"/>
  <c r="D8" i="21"/>
  <c r="AE5" i="21"/>
  <c r="AE8" i="21" s="1"/>
  <c r="BF8" i="21"/>
  <c r="E8" i="12"/>
  <c r="E10" i="12" s="1"/>
  <c r="E12" i="12" s="1"/>
  <c r="AE20" i="21"/>
  <c r="AE17" i="21"/>
  <c r="AF20" i="21"/>
  <c r="AF17" i="21"/>
  <c r="S24" i="21" l="1"/>
  <c r="BU24" i="21"/>
  <c r="AK24" i="21"/>
  <c r="AH24" i="21"/>
  <c r="H5" i="31"/>
  <c r="J24" i="21"/>
  <c r="AT24" i="21"/>
  <c r="AN24" i="21"/>
  <c r="BL24" i="21"/>
  <c r="M24" i="21"/>
  <c r="AO5" i="21"/>
  <c r="AO8" i="21" s="1"/>
  <c r="N8" i="21"/>
  <c r="BP8" i="21"/>
  <c r="H5" i="33"/>
  <c r="G8" i="33"/>
  <c r="G10" i="33" s="1"/>
  <c r="G12" i="33" s="1"/>
  <c r="G27" i="33" s="1"/>
  <c r="G34" i="33" s="1"/>
  <c r="E8" i="33"/>
  <c r="E10" i="33" s="1"/>
  <c r="E12" i="33" s="1"/>
  <c r="E27" i="33" s="1"/>
  <c r="E34" i="33" s="1"/>
  <c r="BO8" i="21"/>
  <c r="AN5" i="21"/>
  <c r="AN8" i="21" s="1"/>
  <c r="BV8" i="21"/>
  <c r="AU5" i="21"/>
  <c r="AU8" i="21" s="1"/>
  <c r="G8" i="35"/>
  <c r="G10" i="35" s="1"/>
  <c r="G12" i="35" s="1"/>
  <c r="G27" i="35" s="1"/>
  <c r="G34" i="35" s="1"/>
  <c r="T8" i="21"/>
  <c r="H5" i="35"/>
  <c r="AK5" i="21"/>
  <c r="AK8" i="21" s="1"/>
  <c r="J8" i="21"/>
  <c r="E8" i="32"/>
  <c r="E10" i="32" s="1"/>
  <c r="E12" i="32" s="1"/>
  <c r="E27" i="32" s="1"/>
  <c r="E34" i="32" s="1"/>
  <c r="AT5" i="21"/>
  <c r="BU8" i="21"/>
  <c r="S8" i="21"/>
  <c r="E8" i="35"/>
  <c r="E10" i="35" s="1"/>
  <c r="E12" i="35" s="1"/>
  <c r="E27" i="35" s="1"/>
  <c r="E34" i="35" s="1"/>
  <c r="BM8" i="21"/>
  <c r="K8" i="21"/>
  <c r="AL5" i="21"/>
  <c r="AL8" i="21" s="1"/>
  <c r="G8" i="32"/>
  <c r="G10" i="32" s="1"/>
  <c r="G12" i="32" s="1"/>
  <c r="G27" i="32" s="1"/>
  <c r="G34" i="32" s="1"/>
  <c r="H5" i="32"/>
  <c r="BI24" i="21"/>
  <c r="AX9" i="21"/>
  <c r="AX10" i="21" s="1"/>
  <c r="AX25" i="21" s="1"/>
  <c r="AW10" i="21"/>
  <c r="AW25" i="21" s="1"/>
  <c r="BY9" i="21"/>
  <c r="BY10" i="21" s="1"/>
  <c r="BY25" i="21" s="1"/>
  <c r="BX10" i="21"/>
  <c r="BX25" i="21" s="1"/>
  <c r="W9" i="21"/>
  <c r="W10" i="21" s="1"/>
  <c r="W25" i="21" s="1"/>
  <c r="V10" i="21"/>
  <c r="V25" i="21" s="1"/>
  <c r="G24" i="21"/>
  <c r="H8" i="21"/>
  <c r="BJ8" i="21"/>
  <c r="AI5" i="21"/>
  <c r="AI8" i="21" s="1"/>
  <c r="G8" i="31"/>
  <c r="G10" i="31" s="1"/>
  <c r="G12" i="31" s="1"/>
  <c r="G27" i="31" s="1"/>
  <c r="G34" i="31" s="1"/>
  <c r="AH5" i="21"/>
  <c r="D9" i="21"/>
  <c r="E9" i="21" s="1"/>
  <c r="BF9" i="21"/>
  <c r="BG9" i="21" s="1"/>
  <c r="AE9" i="21"/>
  <c r="AF9" i="21" s="1"/>
  <c r="BS3" i="21"/>
  <c r="I19" i="19" l="1"/>
  <c r="H8" i="19"/>
  <c r="G13" i="19"/>
  <c r="W13" i="19"/>
  <c r="X19" i="19"/>
  <c r="X8" i="19"/>
  <c r="AB13" i="19"/>
  <c r="AD19" i="19"/>
  <c r="AC8" i="19"/>
  <c r="AH8" i="19"/>
  <c r="AJ19" i="19"/>
  <c r="AG13" i="19"/>
  <c r="C19" i="19"/>
  <c r="B13" i="19"/>
  <c r="C8" i="19"/>
  <c r="O19" i="19"/>
  <c r="L13" i="19"/>
  <c r="M8" i="19"/>
  <c r="AT8" i="21"/>
  <c r="BL8" i="21"/>
  <c r="BO9" i="21"/>
  <c r="AN9" i="21"/>
  <c r="M9" i="21"/>
  <c r="N9" i="21" s="1"/>
  <c r="BU9" i="21"/>
  <c r="S9" i="21"/>
  <c r="AT9" i="21"/>
  <c r="AU9" i="21" s="1"/>
  <c r="M8" i="21"/>
  <c r="BL9" i="21"/>
  <c r="BM9" i="21" s="1"/>
  <c r="J9" i="21"/>
  <c r="K9" i="21" s="1"/>
  <c r="AK9" i="21"/>
  <c r="AL9" i="21" s="1"/>
  <c r="BX32" i="21"/>
  <c r="BY32" i="21"/>
  <c r="V32" i="21"/>
  <c r="AW32" i="21"/>
  <c r="W32" i="21"/>
  <c r="AX32" i="21"/>
  <c r="AH8" i="21"/>
  <c r="G8" i="21"/>
  <c r="BI8" i="21"/>
  <c r="AR3" i="21"/>
  <c r="AH29" i="19" l="1"/>
  <c r="AJ40" i="19"/>
  <c r="AG34" i="19"/>
  <c r="W34" i="19"/>
  <c r="X29" i="19"/>
  <c r="X40" i="19"/>
  <c r="I40" i="19"/>
  <c r="G34" i="19"/>
  <c r="H29" i="19"/>
  <c r="AC29" i="19"/>
  <c r="AD40" i="19"/>
  <c r="AB34" i="19"/>
  <c r="O40" i="19"/>
  <c r="L34" i="19"/>
  <c r="M29" i="19"/>
  <c r="C40" i="19"/>
  <c r="B34" i="19"/>
  <c r="C29" i="19"/>
  <c r="M10" i="21"/>
  <c r="M25" i="21" s="1"/>
  <c r="J10" i="21"/>
  <c r="J25" i="21" s="1"/>
  <c r="AK10" i="21"/>
  <c r="AK25" i="21" s="1"/>
  <c r="BL10" i="21"/>
  <c r="BL25" i="21" s="1"/>
  <c r="T9" i="21"/>
  <c r="S10" i="21"/>
  <c r="S25" i="21" s="1"/>
  <c r="AO9" i="21"/>
  <c r="AN10" i="21"/>
  <c r="AN25" i="21" s="1"/>
  <c r="AT10" i="21"/>
  <c r="AT25" i="21" s="1"/>
  <c r="BV9" i="21"/>
  <c r="BU10" i="21"/>
  <c r="BU25" i="21" s="1"/>
  <c r="BP9" i="21"/>
  <c r="BO10" i="21"/>
  <c r="BO25" i="21" s="1"/>
  <c r="D5" i="26"/>
  <c r="D4" i="26"/>
  <c r="E20" i="19" l="1"/>
  <c r="E16" i="19"/>
  <c r="C16" i="19"/>
  <c r="D11" i="19"/>
  <c r="D14" i="19"/>
  <c r="E18" i="19"/>
  <c r="E17" i="19"/>
  <c r="E19" i="19"/>
  <c r="E15" i="19"/>
  <c r="D13" i="19"/>
  <c r="D12" i="19"/>
  <c r="B10" i="19"/>
  <c r="D10" i="19"/>
  <c r="O18" i="19"/>
  <c r="M13" i="19"/>
  <c r="N8" i="19"/>
  <c r="N7" i="19"/>
  <c r="M10" i="19"/>
  <c r="N6" i="19"/>
  <c r="M14" i="19"/>
  <c r="N5" i="19"/>
  <c r="M12" i="19"/>
  <c r="M11" i="19"/>
  <c r="N9" i="19"/>
  <c r="K20" i="19"/>
  <c r="K16" i="19"/>
  <c r="I16" i="19"/>
  <c r="I11" i="19"/>
  <c r="I12" i="19"/>
  <c r="K19" i="19"/>
  <c r="K15" i="19"/>
  <c r="I14" i="19"/>
  <c r="K18" i="19"/>
  <c r="I13" i="19"/>
  <c r="K17" i="19"/>
  <c r="I10" i="19"/>
  <c r="G10" i="19"/>
  <c r="H5" i="19"/>
  <c r="M32" i="21"/>
  <c r="C18" i="19"/>
  <c r="C13" i="19"/>
  <c r="C10" i="19"/>
  <c r="D8" i="19"/>
  <c r="D7" i="19"/>
  <c r="C12" i="19"/>
  <c r="C14" i="19"/>
  <c r="C11" i="19"/>
  <c r="D9" i="19"/>
  <c r="I18" i="19"/>
  <c r="I7" i="19"/>
  <c r="H13" i="19"/>
  <c r="I5" i="19"/>
  <c r="H12" i="19"/>
  <c r="H14" i="19"/>
  <c r="H11" i="19"/>
  <c r="H10" i="19"/>
  <c r="I6" i="19"/>
  <c r="I9" i="19"/>
  <c r="I8" i="19"/>
  <c r="C17" i="19"/>
  <c r="C7" i="19"/>
  <c r="B12" i="19"/>
  <c r="O17" i="19"/>
  <c r="L12" i="19"/>
  <c r="M7" i="19"/>
  <c r="Q17" i="19"/>
  <c r="Q20" i="19"/>
  <c r="Q15" i="19"/>
  <c r="O16" i="19"/>
  <c r="N11" i="19"/>
  <c r="Q19" i="19"/>
  <c r="N14" i="19"/>
  <c r="N13" i="19"/>
  <c r="Q16" i="19"/>
  <c r="Q18" i="19"/>
  <c r="N12" i="19"/>
  <c r="M5" i="19"/>
  <c r="L10" i="19"/>
  <c r="N10" i="19"/>
  <c r="I17" i="19"/>
  <c r="G12" i="19"/>
  <c r="C11" i="38" s="1"/>
  <c r="H7" i="19"/>
  <c r="D6" i="19"/>
  <c r="D5" i="19"/>
  <c r="BO32" i="21"/>
  <c r="AN32" i="21"/>
  <c r="AK32" i="21"/>
  <c r="BL32" i="21"/>
  <c r="S32" i="21"/>
  <c r="C5" i="19"/>
  <c r="J32" i="21"/>
  <c r="BU32" i="21"/>
  <c r="AT32" i="21"/>
  <c r="AE24" i="21"/>
  <c r="BF24" i="21"/>
  <c r="E6" i="26"/>
  <c r="E9" i="26" s="1"/>
  <c r="M34" i="19" l="1"/>
  <c r="O39" i="19"/>
  <c r="M35" i="19"/>
  <c r="M31" i="19"/>
  <c r="M32" i="19"/>
  <c r="N29" i="19"/>
  <c r="N27" i="19"/>
  <c r="M33" i="19"/>
  <c r="N30" i="19"/>
  <c r="N28" i="19"/>
  <c r="N26" i="19"/>
  <c r="T10" i="19"/>
  <c r="B9" i="38"/>
  <c r="Q41" i="19"/>
  <c r="Q39" i="19"/>
  <c r="Q37" i="19"/>
  <c r="N35" i="19"/>
  <c r="N31" i="19"/>
  <c r="Q40" i="19"/>
  <c r="N32" i="19"/>
  <c r="N33" i="19"/>
  <c r="L31" i="19"/>
  <c r="O37" i="19"/>
  <c r="Q36" i="19"/>
  <c r="N34" i="19"/>
  <c r="Q38" i="19"/>
  <c r="M26" i="19"/>
  <c r="O38" i="19"/>
  <c r="L33" i="19"/>
  <c r="M28" i="19"/>
  <c r="D9" i="38"/>
  <c r="B12" i="38"/>
  <c r="T13" i="19"/>
  <c r="C9" i="38"/>
  <c r="E41" i="19"/>
  <c r="E39" i="19"/>
  <c r="E37" i="19"/>
  <c r="D33" i="19"/>
  <c r="B31" i="19"/>
  <c r="E40" i="19"/>
  <c r="D34" i="19"/>
  <c r="D31" i="19"/>
  <c r="E38" i="19"/>
  <c r="D32" i="19"/>
  <c r="C26" i="19"/>
  <c r="C37" i="19"/>
  <c r="E36" i="19"/>
  <c r="D35" i="19"/>
  <c r="K40" i="19"/>
  <c r="K36" i="19"/>
  <c r="K38" i="19"/>
  <c r="I37" i="19"/>
  <c r="I34" i="19"/>
  <c r="K41" i="19"/>
  <c r="K39" i="19"/>
  <c r="I35" i="19"/>
  <c r="I31" i="19"/>
  <c r="K37" i="19"/>
  <c r="G31" i="19"/>
  <c r="H26" i="19"/>
  <c r="I33" i="19"/>
  <c r="I32" i="19"/>
  <c r="C38" i="19"/>
  <c r="B33" i="19"/>
  <c r="C28" i="19"/>
  <c r="G33" i="19"/>
  <c r="I38" i="19"/>
  <c r="H28" i="19"/>
  <c r="I39" i="19"/>
  <c r="H33" i="19"/>
  <c r="C35" i="38" s="1"/>
  <c r="H34" i="19"/>
  <c r="C36" i="38" s="1"/>
  <c r="H35" i="19"/>
  <c r="I30" i="19"/>
  <c r="I28" i="19"/>
  <c r="I26" i="19"/>
  <c r="H32" i="19"/>
  <c r="H31" i="19"/>
  <c r="I29" i="19"/>
  <c r="I27" i="19"/>
  <c r="D11" i="38"/>
  <c r="T12" i="19"/>
  <c r="B11" i="38"/>
  <c r="C12" i="38"/>
  <c r="C32" i="19"/>
  <c r="C33" i="19"/>
  <c r="D29" i="19"/>
  <c r="D27" i="19"/>
  <c r="C35" i="19"/>
  <c r="C39" i="19"/>
  <c r="C31" i="19"/>
  <c r="C34" i="19"/>
  <c r="D30" i="19"/>
  <c r="D28" i="19"/>
  <c r="D26" i="19"/>
  <c r="D12" i="38"/>
  <c r="B13" i="2"/>
  <c r="B10" i="4"/>
  <c r="B15" i="2" s="1"/>
  <c r="D24" i="21"/>
  <c r="Q3" i="21"/>
  <c r="C33" i="38" l="1"/>
  <c r="B33" i="38"/>
  <c r="T31" i="19"/>
  <c r="T33" i="19"/>
  <c r="B35" i="38"/>
  <c r="E12" i="38"/>
  <c r="E11" i="38"/>
  <c r="D33" i="38"/>
  <c r="B36" i="38"/>
  <c r="T34" i="19"/>
  <c r="D35" i="38"/>
  <c r="E9" i="38"/>
  <c r="D36" i="38"/>
  <c r="AZ17" i="21"/>
  <c r="BA20" i="21"/>
  <c r="AZ20" i="21"/>
  <c r="E5" i="37"/>
  <c r="E8" i="37" s="1"/>
  <c r="E10" i="37" s="1"/>
  <c r="BA17" i="21"/>
  <c r="G5" i="37"/>
  <c r="G8" i="37" s="1"/>
  <c r="AQ17" i="21"/>
  <c r="AR20" i="21"/>
  <c r="AR17" i="21"/>
  <c r="AQ20" i="21"/>
  <c r="G5" i="34"/>
  <c r="E5" i="34"/>
  <c r="E35" i="38" l="1"/>
  <c r="E33" i="38"/>
  <c r="E36" i="38"/>
  <c r="CB24" i="21"/>
  <c r="Z24" i="21"/>
  <c r="CA24" i="21"/>
  <c r="Y24" i="21"/>
  <c r="BA5" i="21"/>
  <c r="BA8" i="21" s="1"/>
  <c r="G10" i="37"/>
  <c r="G12" i="37" s="1"/>
  <c r="G27" i="37" s="1"/>
  <c r="G34" i="37" s="1"/>
  <c r="H5" i="37"/>
  <c r="BA24" i="21"/>
  <c r="E8" i="34"/>
  <c r="E10" i="34" s="1"/>
  <c r="AQ5" i="21"/>
  <c r="E12" i="34"/>
  <c r="E27" i="34" s="1"/>
  <c r="E34" i="34" s="1"/>
  <c r="AQ24" i="21"/>
  <c r="E12" i="37"/>
  <c r="E27" i="37" s="1"/>
  <c r="E34" i="37" s="1"/>
  <c r="CA8" i="21"/>
  <c r="AZ5" i="21"/>
  <c r="AZ8" i="21" s="1"/>
  <c r="H5" i="39"/>
  <c r="G10" i="39"/>
  <c r="AZ24" i="21"/>
  <c r="P24" i="21"/>
  <c r="AR5" i="21"/>
  <c r="AR8" i="21" s="1"/>
  <c r="BS8" i="21"/>
  <c r="Q8" i="21"/>
  <c r="G8" i="34"/>
  <c r="G10" i="34" s="1"/>
  <c r="G12" i="34" s="1"/>
  <c r="G27" i="34" s="1"/>
  <c r="G34" i="34" s="1"/>
  <c r="H5" i="34"/>
  <c r="BR24" i="21"/>
  <c r="E10" i="39"/>
  <c r="E12" i="39" s="1"/>
  <c r="E27" i="39" s="1"/>
  <c r="E34" i="39" s="1"/>
  <c r="D2" i="21"/>
  <c r="G6" i="12"/>
  <c r="E6" i="12"/>
  <c r="G12" i="39" l="1"/>
  <c r="G27" i="39" s="1"/>
  <c r="G34" i="39" s="1"/>
  <c r="P8" i="21"/>
  <c r="P10" i="21" s="1"/>
  <c r="P25" i="21" s="1"/>
  <c r="BR9" i="21"/>
  <c r="BS9" i="21" s="1"/>
  <c r="AQ9" i="21"/>
  <c r="AR9" i="21" s="1"/>
  <c r="P9" i="21"/>
  <c r="Q9" i="21" s="1"/>
  <c r="Z8" i="21"/>
  <c r="AQ8" i="21"/>
  <c r="CA9" i="21"/>
  <c r="CB9" i="21" s="1"/>
  <c r="Y9" i="21"/>
  <c r="Z9" i="21" s="1"/>
  <c r="AZ9" i="21"/>
  <c r="BA9" i="21" s="1"/>
  <c r="BA10" i="21" s="1"/>
  <c r="BA25" i="21" s="1"/>
  <c r="BR8" i="21"/>
  <c r="Y8" i="21"/>
  <c r="CB8" i="21"/>
  <c r="H6" i="12"/>
  <c r="BF10" i="21"/>
  <c r="BF25" i="21" s="1"/>
  <c r="AE10" i="21"/>
  <c r="AE25" i="21" s="1"/>
  <c r="AE2" i="21"/>
  <c r="E16" i="21"/>
  <c r="E18" i="21"/>
  <c r="G2" i="21"/>
  <c r="E30" i="21"/>
  <c r="CB10" i="21" l="1"/>
  <c r="CB25" i="21" s="1"/>
  <c r="AG14" i="19" s="1"/>
  <c r="H18" i="19"/>
  <c r="H17" i="19"/>
  <c r="H16" i="19"/>
  <c r="H19" i="19"/>
  <c r="H20" i="19"/>
  <c r="H15" i="19"/>
  <c r="N18" i="19"/>
  <c r="N16" i="19"/>
  <c r="N15" i="19"/>
  <c r="N17" i="19"/>
  <c r="N19" i="19"/>
  <c r="N20" i="19"/>
  <c r="BA32" i="21"/>
  <c r="AD20" i="19"/>
  <c r="AC9" i="19"/>
  <c r="AB14" i="19"/>
  <c r="C15" i="19"/>
  <c r="B11" i="19"/>
  <c r="G8" i="19"/>
  <c r="G6" i="19"/>
  <c r="G5" i="19"/>
  <c r="G7" i="19"/>
  <c r="G9" i="19"/>
  <c r="L7" i="19"/>
  <c r="L6" i="19"/>
  <c r="L9" i="19"/>
  <c r="L5" i="19"/>
  <c r="L8" i="19"/>
  <c r="CA10" i="21"/>
  <c r="CA25" i="21" s="1"/>
  <c r="BR10" i="21"/>
  <c r="BR25" i="21" s="1"/>
  <c r="P32" i="21"/>
  <c r="C6" i="19"/>
  <c r="Z10" i="21"/>
  <c r="Z25" i="21" s="1"/>
  <c r="AZ10" i="21"/>
  <c r="AZ25" i="21" s="1"/>
  <c r="AQ10" i="21"/>
  <c r="AQ25" i="21" s="1"/>
  <c r="Y10" i="21"/>
  <c r="Y25" i="21" s="1"/>
  <c r="AE32" i="21"/>
  <c r="BF32" i="21"/>
  <c r="E24" i="21"/>
  <c r="BF2" i="21"/>
  <c r="AH2" i="21"/>
  <c r="AF18" i="21"/>
  <c r="E29" i="21"/>
  <c r="J2" i="21"/>
  <c r="AJ20" i="19" l="1"/>
  <c r="CB32" i="21"/>
  <c r="AH30" i="19" s="1"/>
  <c r="AH9" i="19"/>
  <c r="Y32" i="21"/>
  <c r="C20" i="19"/>
  <c r="C9" i="19"/>
  <c r="B14" i="19"/>
  <c r="I15" i="19"/>
  <c r="G11" i="19"/>
  <c r="C10" i="38" s="1"/>
  <c r="H6" i="19"/>
  <c r="C36" i="19"/>
  <c r="B32" i="19"/>
  <c r="C27" i="19"/>
  <c r="N41" i="19"/>
  <c r="N37" i="19"/>
  <c r="N40" i="19"/>
  <c r="L30" i="19"/>
  <c r="L29" i="19"/>
  <c r="L28" i="19"/>
  <c r="L27" i="19"/>
  <c r="L26" i="19"/>
  <c r="N38" i="19"/>
  <c r="N36" i="19"/>
  <c r="N39" i="19"/>
  <c r="AZ32" i="21"/>
  <c r="I20" i="19"/>
  <c r="G14" i="19"/>
  <c r="C13" i="38" s="1"/>
  <c r="H9" i="19"/>
  <c r="BR32" i="21"/>
  <c r="O15" i="19"/>
  <c r="L11" i="19"/>
  <c r="D10" i="38" s="1"/>
  <c r="M6" i="19"/>
  <c r="B10" i="38"/>
  <c r="H39" i="19"/>
  <c r="H38" i="19"/>
  <c r="H36" i="19"/>
  <c r="H41" i="19"/>
  <c r="G30" i="19"/>
  <c r="G29" i="19"/>
  <c r="G28" i="19"/>
  <c r="G27" i="19"/>
  <c r="G26" i="19"/>
  <c r="H37" i="19"/>
  <c r="H40" i="19"/>
  <c r="Z32" i="21"/>
  <c r="X9" i="19"/>
  <c r="X20" i="19"/>
  <c r="W14" i="19"/>
  <c r="CA32" i="21"/>
  <c r="O20" i="19"/>
  <c r="M9" i="19"/>
  <c r="L14" i="19"/>
  <c r="D13" i="38" s="1"/>
  <c r="AB35" i="19"/>
  <c r="AC30" i="19"/>
  <c r="AD41" i="19"/>
  <c r="AQ32" i="21"/>
  <c r="AF24" i="21"/>
  <c r="BI2" i="21"/>
  <c r="AK2" i="21"/>
  <c r="M2" i="21"/>
  <c r="H24" i="21"/>
  <c r="AJ41" i="19" l="1"/>
  <c r="AG35" i="19"/>
  <c r="E10" i="38"/>
  <c r="O41" i="19"/>
  <c r="L35" i="19"/>
  <c r="D37" i="38" s="1"/>
  <c r="M30" i="19"/>
  <c r="X30" i="19"/>
  <c r="W35" i="19"/>
  <c r="X41" i="19"/>
  <c r="B34" i="38"/>
  <c r="T14" i="19"/>
  <c r="B13" i="38"/>
  <c r="E13" i="38" s="1"/>
  <c r="O36" i="19"/>
  <c r="L32" i="19"/>
  <c r="D34" i="38" s="1"/>
  <c r="M27" i="19"/>
  <c r="I41" i="19"/>
  <c r="G35" i="19"/>
  <c r="C37" i="38" s="1"/>
  <c r="H30" i="19"/>
  <c r="G32" i="19"/>
  <c r="C34" i="38" s="1"/>
  <c r="H27" i="19"/>
  <c r="I36" i="19"/>
  <c r="T11" i="19"/>
  <c r="B35" i="19"/>
  <c r="C41" i="19"/>
  <c r="C30" i="19"/>
  <c r="AI24" i="21"/>
  <c r="BG24" i="21"/>
  <c r="BL2" i="21"/>
  <c r="BJ24" i="21"/>
  <c r="AN2" i="21"/>
  <c r="P2" i="21"/>
  <c r="K24" i="21"/>
  <c r="T32" i="19" l="1"/>
  <c r="E34" i="38"/>
  <c r="T35" i="19"/>
  <c r="B37" i="38"/>
  <c r="E37" i="38" s="1"/>
  <c r="S2" i="21"/>
  <c r="V2" i="21" s="1"/>
  <c r="Y2" i="21" s="1"/>
  <c r="AB2" i="21" s="1"/>
  <c r="Q24" i="21"/>
  <c r="AQ2" i="21"/>
  <c r="AO24" i="21"/>
  <c r="BO2" i="21"/>
  <c r="AL24" i="21"/>
  <c r="N24" i="21"/>
  <c r="BM24" i="21" l="1"/>
  <c r="AT2" i="21"/>
  <c r="AW2" i="21" s="1"/>
  <c r="AZ2" i="21" s="1"/>
  <c r="BC2" i="21" s="1"/>
  <c r="BR2" i="21"/>
  <c r="BP24" i="21"/>
  <c r="T24" i="21"/>
  <c r="AR24" i="21" l="1"/>
  <c r="BU2" i="21"/>
  <c r="BX2" i="21" s="1"/>
  <c r="CA2" i="21" s="1"/>
  <c r="CD2" i="21" s="1"/>
  <c r="AU24" i="21"/>
  <c r="B13" i="5"/>
  <c r="B13" i="4"/>
  <c r="E32" i="12"/>
  <c r="BS24" i="21" l="1"/>
  <c r="D10" i="21"/>
  <c r="D25" i="21" s="1"/>
  <c r="B18" i="19" l="1"/>
  <c r="B16" i="19"/>
  <c r="B15" i="19"/>
  <c r="B17" i="19"/>
  <c r="B20" i="19"/>
  <c r="B19" i="19"/>
  <c r="B9" i="19"/>
  <c r="B8" i="19"/>
  <c r="B7" i="19"/>
  <c r="B5" i="19"/>
  <c r="B6" i="19"/>
  <c r="D32" i="21"/>
  <c r="E27" i="12"/>
  <c r="E34" i="12" s="1"/>
  <c r="BV24" i="21"/>
  <c r="G5" i="12"/>
  <c r="B39" i="19" l="1"/>
  <c r="B37" i="19"/>
  <c r="B40" i="19"/>
  <c r="B30" i="19"/>
  <c r="B29" i="19"/>
  <c r="B28" i="19"/>
  <c r="B27" i="19"/>
  <c r="B26" i="19"/>
  <c r="B38" i="19"/>
  <c r="B36" i="19"/>
  <c r="B41" i="19"/>
  <c r="E8" i="21"/>
  <c r="AF5" i="21"/>
  <c r="AF8" i="21" s="1"/>
  <c r="AF10" i="21" s="1"/>
  <c r="AF25" i="21" s="1"/>
  <c r="G8" i="12"/>
  <c r="G10" i="12" s="1"/>
  <c r="G12" i="12" s="1"/>
  <c r="G27" i="12" s="1"/>
  <c r="G34" i="12" s="1"/>
  <c r="H5" i="12"/>
  <c r="BV10" i="21"/>
  <c r="BV25" i="21" s="1"/>
  <c r="BP10" i="21"/>
  <c r="BP25" i="21" s="1"/>
  <c r="BM10" i="21"/>
  <c r="BM25" i="21" s="1"/>
  <c r="BS10" i="21"/>
  <c r="BS25" i="21" s="1"/>
  <c r="Q10" i="21"/>
  <c r="Q25" i="21" s="1"/>
  <c r="AR10" i="21"/>
  <c r="AR25" i="21" s="1"/>
  <c r="AU10" i="21"/>
  <c r="AU25" i="21" s="1"/>
  <c r="AO10" i="21"/>
  <c r="AO25" i="21" s="1"/>
  <c r="K10" i="21"/>
  <c r="K25" i="21" s="1"/>
  <c r="AL10" i="21"/>
  <c r="AL25" i="21" s="1"/>
  <c r="T10" i="21"/>
  <c r="T25" i="21" s="1"/>
  <c r="N10" i="21"/>
  <c r="N25" i="21" s="1"/>
  <c r="W12" i="19" l="1"/>
  <c r="X17" i="19"/>
  <c r="X7" i="19"/>
  <c r="X15" i="19"/>
  <c r="X6" i="19"/>
  <c r="W11" i="19"/>
  <c r="AL20" i="19"/>
  <c r="AL16" i="19"/>
  <c r="AJ16" i="19"/>
  <c r="AI12" i="19"/>
  <c r="AG10" i="19"/>
  <c r="AL19" i="19"/>
  <c r="AL15" i="19"/>
  <c r="AI11" i="19"/>
  <c r="AL18" i="19"/>
  <c r="AI14" i="19"/>
  <c r="AL17" i="19"/>
  <c r="AI13" i="19"/>
  <c r="AI10" i="19"/>
  <c r="AH5" i="19"/>
  <c r="AD17" i="19"/>
  <c r="AC7" i="19"/>
  <c r="AB12" i="19"/>
  <c r="AC6" i="19"/>
  <c r="AD15" i="19"/>
  <c r="AB11" i="19"/>
  <c r="AH14" i="19"/>
  <c r="AH10" i="19"/>
  <c r="AI7" i="19"/>
  <c r="AH13" i="19"/>
  <c r="Q12" i="38" s="1"/>
  <c r="AI6" i="19"/>
  <c r="AJ18" i="19"/>
  <c r="AH12" i="19"/>
  <c r="AI9" i="19"/>
  <c r="AI5" i="19"/>
  <c r="AI8" i="19"/>
  <c r="AH11" i="19"/>
  <c r="AC20" i="19"/>
  <c r="AC16" i="19"/>
  <c r="AB7" i="19"/>
  <c r="AC19" i="19"/>
  <c r="AC15" i="19"/>
  <c r="AB6" i="19"/>
  <c r="AC18" i="19"/>
  <c r="AB9" i="19"/>
  <c r="AB5" i="19"/>
  <c r="AB8" i="19"/>
  <c r="AC17" i="19"/>
  <c r="X12" i="19"/>
  <c r="Y9" i="19"/>
  <c r="X11" i="19"/>
  <c r="Y8" i="19"/>
  <c r="X18" i="19"/>
  <c r="X14" i="19"/>
  <c r="X10" i="19"/>
  <c r="Y7" i="19"/>
  <c r="X13" i="19"/>
  <c r="AD9" i="19"/>
  <c r="AD5" i="19"/>
  <c r="AC11" i="19"/>
  <c r="AD8" i="19"/>
  <c r="AC14" i="19"/>
  <c r="AC10" i="19"/>
  <c r="AD7" i="19"/>
  <c r="AC13" i="19"/>
  <c r="AD18" i="19"/>
  <c r="AC12" i="19"/>
  <c r="AD6" i="19"/>
  <c r="AJ15" i="19"/>
  <c r="AH6" i="19"/>
  <c r="AG11" i="19"/>
  <c r="Z19" i="19"/>
  <c r="Z15" i="19"/>
  <c r="Y11" i="19"/>
  <c r="Z18" i="19"/>
  <c r="Y14" i="19"/>
  <c r="Y10" i="19"/>
  <c r="X5" i="19"/>
  <c r="Z17" i="19"/>
  <c r="Y13" i="19"/>
  <c r="Z20" i="19"/>
  <c r="X16" i="19"/>
  <c r="Z16" i="19"/>
  <c r="W10" i="19"/>
  <c r="Y12" i="19"/>
  <c r="AF20" i="19"/>
  <c r="AF18" i="19"/>
  <c r="AF17" i="19"/>
  <c r="AD13" i="19"/>
  <c r="AF16" i="19"/>
  <c r="AD16" i="19"/>
  <c r="AD12" i="19"/>
  <c r="AF15" i="19"/>
  <c r="AD11" i="19"/>
  <c r="AC5" i="19"/>
  <c r="AD14" i="19"/>
  <c r="AF19" i="19"/>
  <c r="AD10" i="19"/>
  <c r="AB10" i="19"/>
  <c r="P9" i="38" s="1"/>
  <c r="AH7" i="19"/>
  <c r="AG12" i="19"/>
  <c r="Q11" i="38" s="1"/>
  <c r="AJ17" i="19"/>
  <c r="AO32" i="21"/>
  <c r="K32" i="21"/>
  <c r="BM32" i="21"/>
  <c r="AL32" i="21"/>
  <c r="N32" i="21"/>
  <c r="Y6" i="19"/>
  <c r="Y5" i="19"/>
  <c r="BP32" i="21"/>
  <c r="T32" i="21"/>
  <c r="E10" i="21"/>
  <c r="E25" i="21" s="1"/>
  <c r="Q32" i="21"/>
  <c r="AR32" i="21"/>
  <c r="BS32" i="21"/>
  <c r="AU32" i="21"/>
  <c r="BV32" i="21"/>
  <c r="AF32" i="21"/>
  <c r="BG8" i="21"/>
  <c r="BG10" i="21" s="1"/>
  <c r="BG25" i="21" s="1"/>
  <c r="AG32" i="19" l="1"/>
  <c r="AJ36" i="19"/>
  <c r="AH27" i="19"/>
  <c r="X35" i="19"/>
  <c r="X31" i="19"/>
  <c r="X32" i="19"/>
  <c r="X39" i="19"/>
  <c r="Y29" i="19"/>
  <c r="Y27" i="19"/>
  <c r="Y26" i="19"/>
  <c r="X33" i="19"/>
  <c r="X34" i="19"/>
  <c r="Y30" i="19"/>
  <c r="Y28" i="19"/>
  <c r="O12" i="38"/>
  <c r="AO13" i="19"/>
  <c r="AH33" i="19"/>
  <c r="AH34" i="19"/>
  <c r="AH32" i="19"/>
  <c r="AI29" i="19"/>
  <c r="AI26" i="19"/>
  <c r="AH35" i="19"/>
  <c r="AJ39" i="19"/>
  <c r="AI30" i="19"/>
  <c r="AI28" i="19"/>
  <c r="AI27" i="19"/>
  <c r="AH31" i="19"/>
  <c r="Q10" i="38"/>
  <c r="Q13" i="38"/>
  <c r="P11" i="38"/>
  <c r="O10" i="38"/>
  <c r="AO11" i="19"/>
  <c r="AI17" i="19"/>
  <c r="AG8" i="19"/>
  <c r="AI20" i="19"/>
  <c r="AI19" i="19"/>
  <c r="AI15" i="19"/>
  <c r="AG6" i="19"/>
  <c r="AI18" i="19"/>
  <c r="AG5" i="19"/>
  <c r="AI16" i="19"/>
  <c r="AG9" i="19"/>
  <c r="AG7" i="19"/>
  <c r="Y32" i="19"/>
  <c r="Z41" i="19"/>
  <c r="Z39" i="19"/>
  <c r="Z37" i="19"/>
  <c r="Y33" i="19"/>
  <c r="W31" i="19"/>
  <c r="Z38" i="19"/>
  <c r="Y31" i="19"/>
  <c r="Y34" i="19"/>
  <c r="X26" i="19"/>
  <c r="Z40" i="19"/>
  <c r="X37" i="19"/>
  <c r="Z36" i="19"/>
  <c r="Y35" i="19"/>
  <c r="AC32" i="19"/>
  <c r="AD39" i="19"/>
  <c r="AC33" i="19"/>
  <c r="AC35" i="19"/>
  <c r="AD30" i="19"/>
  <c r="AD28" i="19"/>
  <c r="AD26" i="19"/>
  <c r="AD27" i="19"/>
  <c r="AC31" i="19"/>
  <c r="AD29" i="19"/>
  <c r="AC34" i="19"/>
  <c r="P12" i="38"/>
  <c r="AC40" i="19"/>
  <c r="AC38" i="19"/>
  <c r="AC36" i="19"/>
  <c r="AB30" i="19"/>
  <c r="AB29" i="19"/>
  <c r="AB28" i="19"/>
  <c r="AB27" i="19"/>
  <c r="AC39" i="19"/>
  <c r="AB26" i="19"/>
  <c r="AC41" i="19"/>
  <c r="AC37" i="19"/>
  <c r="AB32" i="19"/>
  <c r="AD36" i="19"/>
  <c r="AC27" i="19"/>
  <c r="AC28" i="19"/>
  <c r="AD38" i="19"/>
  <c r="AB33" i="19"/>
  <c r="O9" i="38"/>
  <c r="AO10" i="19"/>
  <c r="Q9" i="38"/>
  <c r="AI34" i="19"/>
  <c r="AL41" i="19"/>
  <c r="AL39" i="19"/>
  <c r="AL37" i="19"/>
  <c r="AI35" i="19"/>
  <c r="AI31" i="19"/>
  <c r="AL40" i="19"/>
  <c r="AJ37" i="19"/>
  <c r="AL36" i="19"/>
  <c r="AI33" i="19"/>
  <c r="AG31" i="19"/>
  <c r="Q33" i="38" s="1"/>
  <c r="AH26" i="19"/>
  <c r="AL38" i="19"/>
  <c r="AI32" i="19"/>
  <c r="X36" i="19"/>
  <c r="W32" i="19"/>
  <c r="X27" i="19"/>
  <c r="AH28" i="19"/>
  <c r="AJ38" i="19"/>
  <c r="AG33" i="19"/>
  <c r="AD33" i="19"/>
  <c r="AB31" i="19"/>
  <c r="AF40" i="19"/>
  <c r="AF38" i="19"/>
  <c r="AD37" i="19"/>
  <c r="AF36" i="19"/>
  <c r="AD34" i="19"/>
  <c r="AF39" i="19"/>
  <c r="AD31" i="19"/>
  <c r="AC26" i="19"/>
  <c r="AF41" i="19"/>
  <c r="AF37" i="19"/>
  <c r="AD32" i="19"/>
  <c r="AD35" i="19"/>
  <c r="E32" i="21"/>
  <c r="W18" i="19"/>
  <c r="W9" i="19"/>
  <c r="W17" i="19"/>
  <c r="W8" i="19"/>
  <c r="W20" i="19"/>
  <c r="W16" i="19"/>
  <c r="W7" i="19"/>
  <c r="W5" i="19"/>
  <c r="W19" i="19"/>
  <c r="W15" i="19"/>
  <c r="X38" i="19"/>
  <c r="X28" i="19"/>
  <c r="W33" i="19"/>
  <c r="P13" i="38"/>
  <c r="O13" i="38"/>
  <c r="AO14" i="19"/>
  <c r="P10" i="38"/>
  <c r="O11" i="38"/>
  <c r="R11" i="38" s="1"/>
  <c r="AO12" i="19"/>
  <c r="W6" i="19"/>
  <c r="BG32" i="21"/>
  <c r="P33" i="38" l="1"/>
  <c r="R13" i="38"/>
  <c r="R9" i="38"/>
  <c r="Q37" i="38"/>
  <c r="Q36" i="38"/>
  <c r="P37" i="38"/>
  <c r="W41" i="19"/>
  <c r="W39" i="19"/>
  <c r="W37" i="19"/>
  <c r="W30" i="19"/>
  <c r="W29" i="19"/>
  <c r="W28" i="19"/>
  <c r="W38" i="19"/>
  <c r="W27" i="19"/>
  <c r="W26" i="19"/>
  <c r="W36" i="19"/>
  <c r="W40" i="19"/>
  <c r="AO34" i="19"/>
  <c r="O36" i="38"/>
  <c r="O37" i="38"/>
  <c r="AO35" i="19"/>
  <c r="P36" i="38"/>
  <c r="R12" i="38"/>
  <c r="AI41" i="19"/>
  <c r="AI39" i="19"/>
  <c r="AI37" i="19"/>
  <c r="AG30" i="19"/>
  <c r="AG29" i="19"/>
  <c r="AG28" i="19"/>
  <c r="AG27" i="19"/>
  <c r="AI40" i="19"/>
  <c r="AI36" i="19"/>
  <c r="AG26" i="19"/>
  <c r="AI38" i="19"/>
  <c r="O35" i="38"/>
  <c r="AO33" i="19"/>
  <c r="P35" i="38"/>
  <c r="R10" i="38"/>
  <c r="O33" i="38"/>
  <c r="AO31" i="19"/>
  <c r="Q35" i="38"/>
  <c r="O34" i="38"/>
  <c r="AO32" i="19"/>
  <c r="P34" i="38"/>
  <c r="Q34" i="38"/>
  <c r="E12" i="31"/>
  <c r="E27" i="31" s="1"/>
  <c r="E34" i="31" s="1"/>
  <c r="R33" i="38" l="1"/>
  <c r="R37" i="38"/>
  <c r="R34" i="38"/>
  <c r="R35" i="38"/>
  <c r="R36" i="38"/>
  <c r="AH9" i="21"/>
  <c r="BI9" i="21"/>
  <c r="G9" i="21"/>
  <c r="H9" i="21" l="1"/>
  <c r="H10" i="21" s="1"/>
  <c r="H25" i="21" s="1"/>
  <c r="G10" i="21"/>
  <c r="G25" i="21" s="1"/>
  <c r="BJ9" i="21"/>
  <c r="BJ10" i="21" s="1"/>
  <c r="BJ25" i="21" s="1"/>
  <c r="BI10" i="21"/>
  <c r="BI25" i="21" s="1"/>
  <c r="AI9" i="21"/>
  <c r="AI10" i="21" s="1"/>
  <c r="AI25" i="21" s="1"/>
  <c r="AH10" i="21"/>
  <c r="AH25" i="21" s="1"/>
  <c r="AE20" i="19" l="1"/>
  <c r="P20" i="38" s="1"/>
  <c r="AE16" i="19"/>
  <c r="P16" i="38" s="1"/>
  <c r="AE18" i="19"/>
  <c r="P18" i="38" s="1"/>
  <c r="AE9" i="19"/>
  <c r="P7" i="38" s="1"/>
  <c r="AE5" i="19"/>
  <c r="P3" i="38" s="1"/>
  <c r="AE17" i="19"/>
  <c r="P17" i="38" s="1"/>
  <c r="AE8" i="19"/>
  <c r="P6" i="38" s="1"/>
  <c r="AE15" i="19"/>
  <c r="P15" i="38" s="1"/>
  <c r="AE7" i="19"/>
  <c r="P5" i="38" s="1"/>
  <c r="AE19" i="19"/>
  <c r="P19" i="38" s="1"/>
  <c r="AE6" i="19"/>
  <c r="P4" i="38" s="1"/>
  <c r="Z8" i="19"/>
  <c r="Y19" i="19"/>
  <c r="Y15" i="19"/>
  <c r="Z7" i="19"/>
  <c r="Y18" i="19"/>
  <c r="Z6" i="19"/>
  <c r="Y17" i="19"/>
  <c r="Z9" i="19"/>
  <c r="Y20" i="19"/>
  <c r="Y16" i="19"/>
  <c r="P20" i="19"/>
  <c r="D20" i="38" s="1"/>
  <c r="P18" i="19"/>
  <c r="D18" i="38" s="1"/>
  <c r="P15" i="19"/>
  <c r="D15" i="38" s="1"/>
  <c r="P16" i="19"/>
  <c r="D16" i="38" s="1"/>
  <c r="P19" i="19"/>
  <c r="D19" i="38" s="1"/>
  <c r="P17" i="19"/>
  <c r="D17" i="38" s="1"/>
  <c r="O7" i="19"/>
  <c r="D5" i="38" s="1"/>
  <c r="O9" i="19"/>
  <c r="D7" i="38" s="1"/>
  <c r="O8" i="19"/>
  <c r="D6" i="38" s="1"/>
  <c r="O6" i="19"/>
  <c r="D4" i="38" s="1"/>
  <c r="O5" i="19"/>
  <c r="D3" i="38" s="1"/>
  <c r="AK18" i="19"/>
  <c r="Q18" i="38" s="1"/>
  <c r="AJ6" i="19"/>
  <c r="AK17" i="19"/>
  <c r="Q17" i="38" s="1"/>
  <c r="AJ9" i="19"/>
  <c r="AJ5" i="19"/>
  <c r="AK20" i="19"/>
  <c r="Q20" i="38" s="1"/>
  <c r="AK16" i="19"/>
  <c r="Q16" i="38" s="1"/>
  <c r="AJ8" i="19"/>
  <c r="AK19" i="19"/>
  <c r="Q19" i="38" s="1"/>
  <c r="AK15" i="19"/>
  <c r="Q15" i="38" s="1"/>
  <c r="AJ7" i="19"/>
  <c r="J18" i="19"/>
  <c r="C18" i="38" s="1"/>
  <c r="J20" i="19"/>
  <c r="C20" i="38" s="1"/>
  <c r="J19" i="19"/>
  <c r="C19" i="38" s="1"/>
  <c r="J17" i="19"/>
  <c r="C17" i="38" s="1"/>
  <c r="J15" i="19"/>
  <c r="C15" i="38" s="1"/>
  <c r="J16" i="19"/>
  <c r="C16" i="38" s="1"/>
  <c r="J6" i="19"/>
  <c r="C4" i="38" s="1"/>
  <c r="J5" i="19"/>
  <c r="C3" i="38" s="1"/>
  <c r="J8" i="19"/>
  <c r="C6" i="38" s="1"/>
  <c r="J7" i="19"/>
  <c r="C5" i="38" s="1"/>
  <c r="J9" i="19"/>
  <c r="C7" i="38" s="1"/>
  <c r="D18" i="19"/>
  <c r="D16" i="19"/>
  <c r="D15" i="19"/>
  <c r="D17" i="19"/>
  <c r="D19" i="19"/>
  <c r="D20" i="19"/>
  <c r="E9" i="19"/>
  <c r="E8" i="19"/>
  <c r="E7" i="19"/>
  <c r="E5" i="19"/>
  <c r="T5" i="19" s="1"/>
  <c r="E6" i="19"/>
  <c r="Z5" i="19"/>
  <c r="BI32" i="21"/>
  <c r="BJ32" i="21"/>
  <c r="AH32" i="21"/>
  <c r="G32" i="21"/>
  <c r="AI32" i="21"/>
  <c r="H32" i="21"/>
  <c r="Q5" i="38" l="1"/>
  <c r="AO7" i="19"/>
  <c r="O5" i="38"/>
  <c r="Q3" i="38"/>
  <c r="O3" i="38"/>
  <c r="AO5" i="19"/>
  <c r="T8" i="19"/>
  <c r="B6" i="38"/>
  <c r="E6" i="38" s="1"/>
  <c r="T17" i="19"/>
  <c r="B17" i="38"/>
  <c r="E17" i="38" s="1"/>
  <c r="O17" i="38"/>
  <c r="R17" i="38" s="1"/>
  <c r="AO17" i="19"/>
  <c r="O15" i="38"/>
  <c r="R15" i="38" s="1"/>
  <c r="AO15" i="19"/>
  <c r="Y40" i="19"/>
  <c r="Y38" i="19"/>
  <c r="Y36" i="19"/>
  <c r="Y41" i="19"/>
  <c r="Y37" i="19"/>
  <c r="Z30" i="19"/>
  <c r="Z28" i="19"/>
  <c r="Z29" i="19"/>
  <c r="Z27" i="19"/>
  <c r="Y39" i="19"/>
  <c r="Z26" i="19"/>
  <c r="AK40" i="19"/>
  <c r="Q43" i="38" s="1"/>
  <c r="AK38" i="19"/>
  <c r="Q41" i="38" s="1"/>
  <c r="AK36" i="19"/>
  <c r="Q39" i="38" s="1"/>
  <c r="AK39" i="19"/>
  <c r="Q42" i="38" s="1"/>
  <c r="AJ30" i="19"/>
  <c r="Q31" i="38" s="1"/>
  <c r="AJ28" i="19"/>
  <c r="Q29" i="38" s="1"/>
  <c r="AJ27" i="19"/>
  <c r="Q28" i="38" s="1"/>
  <c r="AK37" i="19"/>
  <c r="Q40" i="38" s="1"/>
  <c r="AJ26" i="19"/>
  <c r="Q27" i="38" s="1"/>
  <c r="AK41" i="19"/>
  <c r="Q44" i="38" s="1"/>
  <c r="AJ29" i="19"/>
  <c r="Q30" i="38" s="1"/>
  <c r="T20" i="19"/>
  <c r="B20" i="38"/>
  <c r="E20" i="38" s="1"/>
  <c r="B16" i="38"/>
  <c r="E16" i="38" s="1"/>
  <c r="T16" i="19"/>
  <c r="O20" i="38"/>
  <c r="R20" i="38" s="1"/>
  <c r="AO20" i="19"/>
  <c r="AO18" i="19"/>
  <c r="O18" i="38"/>
  <c r="R18" i="38" s="1"/>
  <c r="Q6" i="38"/>
  <c r="O6" i="38"/>
  <c r="AO8" i="19"/>
  <c r="AE41" i="19"/>
  <c r="P44" i="38" s="1"/>
  <c r="AE39" i="19"/>
  <c r="P42" i="38" s="1"/>
  <c r="AE37" i="19"/>
  <c r="P40" i="38" s="1"/>
  <c r="AE27" i="19"/>
  <c r="P28" i="38" s="1"/>
  <c r="AE38" i="19"/>
  <c r="P41" i="38" s="1"/>
  <c r="AE29" i="19"/>
  <c r="P30" i="38" s="1"/>
  <c r="AE28" i="19"/>
  <c r="P29" i="38" s="1"/>
  <c r="AE40" i="19"/>
  <c r="P43" i="38" s="1"/>
  <c r="AE30" i="19"/>
  <c r="P31" i="38" s="1"/>
  <c r="AE26" i="19"/>
  <c r="P27" i="38" s="1"/>
  <c r="AE36" i="19"/>
  <c r="P39" i="38" s="1"/>
  <c r="P38" i="19"/>
  <c r="D41" i="38" s="1"/>
  <c r="P41" i="19"/>
  <c r="D44" i="38" s="1"/>
  <c r="P39" i="19"/>
  <c r="D42" i="38" s="1"/>
  <c r="P36" i="19"/>
  <c r="D39" i="38" s="1"/>
  <c r="P37" i="19"/>
  <c r="D40" i="38" s="1"/>
  <c r="O30" i="19"/>
  <c r="D31" i="38" s="1"/>
  <c r="O29" i="19"/>
  <c r="D30" i="38" s="1"/>
  <c r="O28" i="19"/>
  <c r="D29" i="38" s="1"/>
  <c r="O27" i="19"/>
  <c r="D28" i="38" s="1"/>
  <c r="O26" i="19"/>
  <c r="D27" i="38" s="1"/>
  <c r="P40" i="19"/>
  <c r="D43" i="38" s="1"/>
  <c r="B5" i="38"/>
  <c r="E5" i="38" s="1"/>
  <c r="T7" i="19"/>
  <c r="T19" i="19"/>
  <c r="B19" i="38"/>
  <c r="E19" i="38" s="1"/>
  <c r="B18" i="38"/>
  <c r="E18" i="38" s="1"/>
  <c r="T18" i="19"/>
  <c r="Q7" i="38"/>
  <c r="O7" i="38"/>
  <c r="AO9" i="19"/>
  <c r="D38" i="19"/>
  <c r="D41" i="19"/>
  <c r="D39" i="19"/>
  <c r="D37" i="19"/>
  <c r="E30" i="19"/>
  <c r="E29" i="19"/>
  <c r="E28" i="19"/>
  <c r="E27" i="19"/>
  <c r="E26" i="19"/>
  <c r="D40" i="19"/>
  <c r="D36" i="19"/>
  <c r="J37" i="19"/>
  <c r="C40" i="38" s="1"/>
  <c r="J40" i="19"/>
  <c r="C43" i="38" s="1"/>
  <c r="J38" i="19"/>
  <c r="C41" i="38" s="1"/>
  <c r="J36" i="19"/>
  <c r="C39" i="38" s="1"/>
  <c r="J30" i="19"/>
  <c r="C31" i="38" s="1"/>
  <c r="J29" i="19"/>
  <c r="C30" i="38" s="1"/>
  <c r="J28" i="19"/>
  <c r="C29" i="38" s="1"/>
  <c r="J27" i="19"/>
  <c r="C28" i="38" s="1"/>
  <c r="J26" i="19"/>
  <c r="C27" i="38" s="1"/>
  <c r="J39" i="19"/>
  <c r="C42" i="38" s="1"/>
  <c r="J41" i="19"/>
  <c r="C44" i="38" s="1"/>
  <c r="T6" i="19"/>
  <c r="B7" i="38"/>
  <c r="E7" i="38" s="1"/>
  <c r="T9" i="19"/>
  <c r="T15" i="19"/>
  <c r="B15" i="38"/>
  <c r="E15" i="38" s="1"/>
  <c r="O16" i="38"/>
  <c r="R16" i="38" s="1"/>
  <c r="AO16" i="19"/>
  <c r="Q4" i="38"/>
  <c r="O4" i="38"/>
  <c r="AO6" i="19"/>
  <c r="AO19" i="19"/>
  <c r="O19" i="38"/>
  <c r="R19" i="38" s="1"/>
  <c r="B4" i="38"/>
  <c r="E4" i="38" s="1"/>
  <c r="B3" i="38"/>
  <c r="E3" i="38" s="1"/>
  <c r="R6" i="38" l="1"/>
  <c r="R3" i="38"/>
  <c r="R5" i="38"/>
  <c r="B41" i="38"/>
  <c r="E41" i="38" s="1"/>
  <c r="T38" i="19"/>
  <c r="B28" i="38"/>
  <c r="E28" i="38" s="1"/>
  <c r="T27" i="19"/>
  <c r="O28" i="38"/>
  <c r="R28" i="38" s="1"/>
  <c r="AO27" i="19"/>
  <c r="AO40" i="19"/>
  <c r="O43" i="38"/>
  <c r="R43" i="38" s="1"/>
  <c r="T36" i="19"/>
  <c r="B39" i="38"/>
  <c r="E39" i="38" s="1"/>
  <c r="T28" i="19"/>
  <c r="B29" i="38"/>
  <c r="E29" i="38" s="1"/>
  <c r="B42" i="38"/>
  <c r="E42" i="38" s="1"/>
  <c r="T39" i="19"/>
  <c r="O30" i="38"/>
  <c r="R30" i="38" s="1"/>
  <c r="AO29" i="19"/>
  <c r="O44" i="38"/>
  <c r="R44" i="38" s="1"/>
  <c r="AO41" i="19"/>
  <c r="B27" i="38"/>
  <c r="E27" i="38" s="1"/>
  <c r="T26" i="19"/>
  <c r="B31" i="38"/>
  <c r="E31" i="38" s="1"/>
  <c r="T30" i="19"/>
  <c r="AO39" i="19"/>
  <c r="O42" i="38"/>
  <c r="R42" i="38" s="1"/>
  <c r="O31" i="38"/>
  <c r="R31" i="38" s="1"/>
  <c r="AO30" i="19"/>
  <c r="O41" i="38"/>
  <c r="R41" i="38" s="1"/>
  <c r="AO38" i="19"/>
  <c r="B40" i="38"/>
  <c r="E40" i="38" s="1"/>
  <c r="T37" i="19"/>
  <c r="O40" i="38"/>
  <c r="R40" i="38" s="1"/>
  <c r="AO37" i="19"/>
  <c r="R4" i="38"/>
  <c r="T40" i="19"/>
  <c r="B43" i="38"/>
  <c r="E43" i="38" s="1"/>
  <c r="T29" i="19"/>
  <c r="B30" i="38"/>
  <c r="E30" i="38" s="1"/>
  <c r="B44" i="38"/>
  <c r="E44" i="38" s="1"/>
  <c r="T41" i="19"/>
  <c r="R7" i="38"/>
  <c r="AO26" i="19"/>
  <c r="O27" i="38"/>
  <c r="R27" i="38" s="1"/>
  <c r="O29" i="38"/>
  <c r="R29" i="38" s="1"/>
  <c r="AO28" i="19"/>
  <c r="O39" i="38"/>
  <c r="R39" i="38" s="1"/>
  <c r="AO36"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tc={6347E3B7-C911-408F-BB70-4DF5EACD4098}</author>
  </authors>
  <commentList>
    <comment ref="A59" authorId="0" shapeId="0" xr:uid="{6347E3B7-C911-408F-BB70-4DF5EACD4098}">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analyses sont effectuées sur trois cycles de rotation. Un cycle de rotation varie entre 5 à 6 ans en fonction du nombre de cultures. Par exemple une rotation Blé de printemps-Avoine-Blé de printemps-Prairies (2 ans) représente un cycle de 5 ans (an 1 = Blé de printemps, an 2 = Avoine, an 3 = Blé de printemps, an 4 et 5 = Prairies) tandis qu’une rotation Chanvre-Blé de printemps-Sarrasin-Blé de printemps-Prairies (2 ans) représente un cycle de 6 ans (an 1 = Chanvre, an 2 = Blé de printemps, an 3 = Sarrasin, an 4 = Blé de printemps, an 5 et 6 = Prairies.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tc={BFC3126A-0A1C-40B7-800C-99E93DB44FF4}</author>
    <author>tc={6CCA6EEA-A177-474F-9D22-D11E0AECCFCB}</author>
  </authors>
  <commentList>
    <comment ref="B7" authorId="0" shapeId="0" xr:uid="{BFC3126A-0A1C-40B7-800C-99E93DB44FF4}">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 CECPA ne distingue pas le rendement du blé d'automne et du blé de printemps. Des producteurs agricoles et agronomes nous ont informés que le blé d'automne possède un rendement entre 25 % et 50 % plus élevé que le blé de printemps. Nous retenons ici un rendement supérieur correspondant à 25 % de plus que le rendement du blé de printemps. Cette information peut être modifiée pour les exploitations agricoles en indiquant le rendement des productions elles-mêmes dans l'onglet "Saisie" sous la section "Vos rendements".</t>
        </r>
      </text>
    </comment>
    <comment ref="B10" authorId="1" shapeId="0" xr:uid="{6CCA6EEA-A177-474F-9D22-D11E0AECCFCB}">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Des échanges avec agronomes et producteurs agricoles nous amènent à modifier le rendement du seigle hybride à 1 T/ha plus élevé que le rendement du blé d'automne.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tc={61912261-0FBA-4DC4-AF26-BB8537F3CD1C}</author>
  </authors>
  <commentList>
    <comment ref="B11" authorId="0" shapeId="0" xr:uid="{61912261-0FBA-4DC4-AF26-BB8537F3CD1C}">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Une étude technico-économique réalisée par le CEPCA relève un prix pour le foin de commerce de 263 $/t en régie conventionnelle. L'étude soulève aussi un prix nettement inférieur pour les régions périphériques. Le prix retenu provient d'un échange avec un producteur agricole qui soulignait des prix entre 50 et 65 $/balles pour des balles de 275 kg/balles. Cette information peut être modifiée pour les exploitations agricoles en indiquant le rendement des productions elles-mêmes dans l'onglet "Saisie" sous la section "Vos prix".</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tc={871BC8EE-9232-4536-8823-16AE42A93405}</author>
    <author>tc={1DBFD7F3-101F-4BC7-9B48-F228DE5DC650}</author>
  </authors>
  <commentList>
    <comment ref="B3" authorId="0" shapeId="0" xr:uid="{871BC8EE-9232-4536-8823-16AE42A93405}">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analyses sont effectuées sur trois cycles de rotation. Un cycle de rotation varie entre 5 à 6 ans en fonction du nombre de cultures. Par exemple une rotation Blé de printemps-Avoine-Blé de printemps-Prairies (2 ans) représente un cycle de 5 ans (an 1 = Blé de printemps, an 2 = Avoine, an 3 = Blé de printemps, an 4 et 5 = Prairies) tandis qu’une rotation Chanvre-Blé de printemps-Sarrasin-Blé de printemps-Prairies (2 ans) représente un cycle de 6 ans (an 1 = Chanvre, an 2 = Blé de printemps, an 3 = Sarrasin, an 4 = Blé de printemps, an 5 et 6 = Prairies.</t>
        </r>
      </text>
    </comment>
    <comment ref="W3" authorId="1" shapeId="0" xr:uid="{1DBFD7F3-101F-4BC7-9B48-F228DE5DC65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analyses sont effectuées sur trois cycles de rotation. Un cycle de rotation varie entre 5 à 6 ans en fonction du nombre de cultures. Par exemple une rotation Blé de printemps-Avoine-Blé de printemps-Prairies (2 ans) représente un cycle de 5 ans (an 1 = Blé de printemps, an 2 = Avoine, an 3 = Blé de printemps, an 4 et 5 = Prairies) tandis qu’une rotation Chanvre-Blé de printemps-Sarrasin-Blé de printemps-Prairies (2 ans) représente un cycle de 6 ans (an 1 = Chanvre, an 2 = Blé de printemps, an 3 = Sarrasin, an 4 = Blé de printemps, an 5 et 6 = Prairies.</t>
        </r>
      </text>
    </comment>
  </commentList>
</comments>
</file>

<file path=xl/sharedStrings.xml><?xml version="1.0" encoding="utf-8"?>
<sst xmlns="http://schemas.openxmlformats.org/spreadsheetml/2006/main" count="794" uniqueCount="205">
  <si>
    <t>Orge</t>
  </si>
  <si>
    <t>Avoine</t>
  </si>
  <si>
    <t>Le modèle utilise les rendements ci-dessous pour la région sélectionnée. Si les rendements présents ne reflètent pas ceux observés sur votre ferme, nous vous invitons à les indiquer dans la colonne inscrite à cet effet. Si votre exploitation ne produit pas cette culture, ne rien inscrire dans la colonne.</t>
  </si>
  <si>
    <t>Rendements associés à la région</t>
  </si>
  <si>
    <t>Vos rendements</t>
  </si>
  <si>
    <t>Prix associés à la région</t>
  </si>
  <si>
    <t>Vos prix</t>
  </si>
  <si>
    <t>Le modèle utilise les prix ci-dessous. Si les prix présents ne reflètent pas ceux observés sur votre ferme, nous vous invitons à les indiquer dans la colonne inscrite à cet effet. Si votre exploitation ne produit pas cette culture, ne rien inscrire dans la colonne.</t>
  </si>
  <si>
    <t>Compensation d'assurance stabilisation</t>
  </si>
  <si>
    <t>PRODUITS</t>
  </si>
  <si>
    <t>TOTAL PRODUITS</t>
  </si>
  <si>
    <t>Frais de mise en marché</t>
  </si>
  <si>
    <t>Sous-total</t>
  </si>
  <si>
    <t>Autres frais</t>
  </si>
  <si>
    <t>Revenus de sous-produits</t>
  </si>
  <si>
    <t>Autres revenus</t>
  </si>
  <si>
    <t>Amortissements</t>
  </si>
  <si>
    <t>Rénumération du travail de l'exploitant</t>
  </si>
  <si>
    <t>tm/ha</t>
  </si>
  <si>
    <t>$/tm</t>
  </si>
  <si>
    <t>Blé d'automne</t>
  </si>
  <si>
    <t>Blé de printemps</t>
  </si>
  <si>
    <t>Vos coûts</t>
  </si>
  <si>
    <t>Région &amp; Régie</t>
  </si>
  <si>
    <t>Région et Régie</t>
  </si>
  <si>
    <t>RENDEMENT</t>
  </si>
  <si>
    <t>PRIX</t>
  </si>
  <si>
    <t>RÉGION</t>
  </si>
  <si>
    <t>TYPE DE RÉGIE</t>
  </si>
  <si>
    <t>OBJECTIFS</t>
  </si>
  <si>
    <t>DESCRIPTION DES ONGLETS</t>
  </si>
  <si>
    <t>Saisie</t>
  </si>
  <si>
    <t>LIMITES</t>
  </si>
  <si>
    <t>CONTACTS</t>
  </si>
  <si>
    <t>$/ha</t>
  </si>
  <si>
    <t>MARGE BÉNÉFICIAIRE APRÈS FRAIS MONÉTAIRES (MARGE MONÉTAIRE)</t>
  </si>
  <si>
    <t>MARGE BÉNÉFICIAIRE APRÈS LES AMORTISSEMENTS ET LES RÉNUMÉRATIONS DU TRAVAIL ET DE L'AVOIR (MARGE NETTE)</t>
  </si>
  <si>
    <t>Prix de marché</t>
  </si>
  <si>
    <t>Rendement du modèle</t>
  </si>
  <si>
    <t>Revenu stabilisé ajusté</t>
  </si>
  <si>
    <t>Blé d'alimentation humaine</t>
  </si>
  <si>
    <t>Blé d'alimentation animale</t>
  </si>
  <si>
    <t>2020-2021</t>
  </si>
  <si>
    <t>Votre ferme</t>
  </si>
  <si>
    <t>Vente</t>
  </si>
  <si>
    <t>An 1</t>
  </si>
  <si>
    <t>An 2</t>
  </si>
  <si>
    <t>An 3</t>
  </si>
  <si>
    <t>An 4</t>
  </si>
  <si>
    <t>An 5</t>
  </si>
  <si>
    <t>An 6</t>
  </si>
  <si>
    <t>Résultats du modèle</t>
  </si>
  <si>
    <t>Moyenne annuelle</t>
  </si>
  <si>
    <t>Résultats de votre ferme</t>
  </si>
  <si>
    <t>RÉSULTATS DU MODÈLE</t>
  </si>
  <si>
    <t>Année</t>
  </si>
  <si>
    <t>Lieu</t>
  </si>
  <si>
    <t>Résultats</t>
  </si>
  <si>
    <t>Sources</t>
  </si>
  <si>
    <t>Guelph, Ontario</t>
  </si>
  <si>
    <t>Rotations</t>
  </si>
  <si>
    <t>A. Monoculture maïs
B. Maïs-Soya
C. Maïs-Soya-Blé d'automne
D. Maïs-Soya-Blé d'automne_CC de trèfle rouge dans blé d'automne</t>
  </si>
  <si>
    <t>La rotation B permet des rendements de maïs entre 5-27 % plus élevée que la monoculture de maïs, et de soya entre 5-17 % plus élevé que la monoculture de soya.
La rotation C permet des rendements de maïs de 12 % plus élevé que la rotation B, et des gains de rendements de soya de 10 % plus élevé que la rotation B.
L'ajout de trèfle rouge augmente les rendements de 5 %.</t>
  </si>
  <si>
    <t>Pennsylvanie</t>
  </si>
  <si>
    <t>A. Monoculture maïs
B. Maïs-Soya
C. 4 X Maïs- 4 X Luzerne
D. Maïs-Avoine/Blé- 2 X Trèfle Rouge / Fléole des prés</t>
  </si>
  <si>
    <t>La rotation C permet des rendement de maïs entre 7 et 12 % plus élevée que la monoculture de maïs.</t>
  </si>
  <si>
    <t>Saint-Hyacinthe et Normandin</t>
  </si>
  <si>
    <t>A. Monoculture maïs
B. Monoculture soya
C. Maïs-soya
D. Maïs-soya-Blé</t>
  </si>
  <si>
    <t xml:space="preserve">La rotation permet des gains de rendements de maïs de 6.8 % lorsqu'il y a labour et de 7.7 % lorsqu'il y a chisel par rapport à la monoculture.
La rotation permet des gains de rendement du soya de 6.3 % lorsqu'il y a labour et de 3.5 % lorsqu'il y a chisel par rapport à la monoculture. </t>
  </si>
  <si>
    <t>Beloeil</t>
  </si>
  <si>
    <t>A. Monoculture de maïs
B. Maïs-Soya-Blé
C. Maïs-Soya-Blé-3X Prairie
D. Prairie</t>
  </si>
  <si>
    <t>La rotation B permet des gains de rendements du maïs-grain de 14 % par rapport à la monoculture de maïs.
La rotation C permet des gains de rendements de maïs-grain de 11 % par rapport à la monoculture de maïs.</t>
  </si>
  <si>
    <r>
      <t xml:space="preserve">Tremblay G. (2016) </t>
    </r>
    <r>
      <rPr>
        <i/>
        <sz val="11"/>
        <color theme="1"/>
        <rFont val="Calibri"/>
        <family val="2"/>
        <scheme val="minor"/>
      </rPr>
      <t>Bénéfices des rotations en grandes cultures</t>
    </r>
    <r>
      <rPr>
        <sz val="11"/>
        <color theme="1"/>
        <rFont val="Calibri"/>
        <family val="2"/>
        <scheme val="minor"/>
      </rPr>
      <t>. Drummondville : CÉROM. 42 pages.</t>
    </r>
  </si>
  <si>
    <t>Seigle hybride</t>
  </si>
  <si>
    <t>GAINS AGRONOMIQUES DE LA ROTATION ET CULTURES DE COUVERTURE</t>
  </si>
  <si>
    <t>Semences</t>
  </si>
  <si>
    <t>Gains de rendement</t>
  </si>
  <si>
    <t>Vos gains de rendement</t>
  </si>
  <si>
    <t>1. Les gains agronomiques considérés dans ce modèle correspondent à l'augmentation de rendement attendu par la diversification des rotations et l'ajout d'une culture de couverture et à nombre d'unités d'azote fourni par la culture de couverture.</t>
  </si>
  <si>
    <t>Gains azotés</t>
  </si>
  <si>
    <t>Unités d'azote</t>
  </si>
  <si>
    <t>Vos gains azoté</t>
  </si>
  <si>
    <t>% de gains agronomiques lors de la première rotation</t>
  </si>
  <si>
    <t xml:space="preserve">% de gains agronomiques  </t>
  </si>
  <si>
    <t>% de gains de votre ferme</t>
  </si>
  <si>
    <t>Cet onglet présente les modèles utilisés pour générer les coûts de production des cultures. L'utilisateur peut modifier les coûts pour refléter sa situation. Si un poste de dépenses ou de revenus n'est pas modifié par l'utilisateur, le modèle sélectionnera la donnée inscrite dans la région centrale ou périphérique.</t>
  </si>
  <si>
    <t>ASRA_Calculs</t>
  </si>
  <si>
    <t>Rendements_CECPA / Prix_CECPA</t>
  </si>
  <si>
    <t>Le modèle retient les données initiales du CECPA quant au prix et au rendement des différentes cultures. Ces données pourraient être mises à jour périodiquement.</t>
  </si>
  <si>
    <t>Le modèle retient les données de l'ASRA pour calculer le prix minimal attendu par le producteur agricole. Les données de cet onglet devront être mis à jour annuellement.</t>
  </si>
  <si>
    <t>Intermédiaire_Prod-Résultats</t>
  </si>
  <si>
    <t>Cet onglet lie les données inscrites par l'usager et les résultats.</t>
  </si>
  <si>
    <t>Cet onglet présente les résultats des marges bénéficiaires brutes, des marges monétaires et des marges nettes pour différentes rotations. Les résultats sont divisés entre ceux obtenus par le modèle (bleu) et ceux incorporant les modifications effectuées par l'usager (orange).</t>
  </si>
  <si>
    <r>
      <t>Le modèle utilise les gains agronomiques</t>
    </r>
    <r>
      <rPr>
        <vertAlign val="superscript"/>
        <sz val="11"/>
        <color theme="1"/>
        <rFont val="Calibri"/>
        <family val="2"/>
        <scheme val="minor"/>
      </rPr>
      <t>1</t>
    </r>
    <r>
      <rPr>
        <sz val="11"/>
        <color theme="1"/>
        <rFont val="Calibri"/>
        <family val="2"/>
        <scheme val="minor"/>
      </rPr>
      <t xml:space="preserve"> ci-dessous. Si ces gains ne reflètent pas ceux observés sur votre ferme, nous vous invitons à les indiquer dans la colonne inscrite à cet effet. Si votre exploitation ne produit pas cette culture, ne rien inscrire dans la colonne. Si aucunes cultures de couverture ou engrais verts ne sont considérés par votre entreprise, inscrire 0 dans la case de gains azotée prévue à cet effet.</t>
    </r>
  </si>
  <si>
    <t>Total ($/ha)</t>
  </si>
  <si>
    <t>Coûts de semences</t>
  </si>
  <si>
    <t>Opérations de semis</t>
  </si>
  <si>
    <t>Québec</t>
  </si>
  <si>
    <t>Rotation</t>
  </si>
  <si>
    <t>Cultures de couverture</t>
  </si>
  <si>
    <t>Les cultures de couverture en A permettent une augmentation du rendement de maïs de 13 % et des céréales de 22 %. Aucun impact dans le soya.
Les cultures de couverture en B permettent une augmentation du rendement de maïs de 11 % et des céréales de 11 %. Aucun impact dans le soya.</t>
  </si>
  <si>
    <t>A. Tous types de cultures de couverture, tout mode d'implantation
B. Tous types de cultures de couverture, implantation en dérobé et intercalaire.</t>
  </si>
  <si>
    <r>
      <t xml:space="preserve">Vanasse A., Thibaudeau S. &amp; Weill A. (2022). </t>
    </r>
    <r>
      <rPr>
        <i/>
        <sz val="11"/>
        <color theme="1"/>
        <rFont val="Calibri"/>
        <family val="2"/>
        <scheme val="minor"/>
      </rPr>
      <t xml:space="preserve">Guide des cultures de couverture en grandes cultures. </t>
    </r>
    <r>
      <rPr>
        <sz val="11"/>
        <color theme="1"/>
        <rFont val="Calibri"/>
        <family val="2"/>
        <scheme val="minor"/>
      </rPr>
      <t>Centre de référence en agriculture et agroalimentaire au Québec (CRAAQ). 204 pages.</t>
    </r>
  </si>
  <si>
    <t>Pois fourrager</t>
  </si>
  <si>
    <t>Quantité (kg/ha)</t>
  </si>
  <si>
    <t>Prix ($/25kg)</t>
  </si>
  <si>
    <t>Coûts de semis-direct</t>
  </si>
  <si>
    <t>Coût total de la culture de couverture</t>
  </si>
  <si>
    <t>Présence de cultures de couverture</t>
  </si>
  <si>
    <t>Aucun gains agronomiques</t>
  </si>
  <si>
    <t>50 % de gains agronomiques</t>
  </si>
  <si>
    <t>Biologique</t>
  </si>
  <si>
    <t>Seigle</t>
  </si>
  <si>
    <t>Coût unitaire de l'azote</t>
  </si>
  <si>
    <t>100 % de gains agronomiques</t>
  </si>
  <si>
    <t>Cet outil documente plusieurs types de marges bénéficiaires attendus selon la rotation employée. Cet outil se veut une aide à la décision pour le producteur agricole.</t>
  </si>
  <si>
    <r>
      <t xml:space="preserve">Gaudin A.C.M., Tolhurst T.N., Ker A.P., Janovicek K., Tortora C., et al. (2015). Increasing Crop Diversity Mitigates Weather Variations and Improves Yield Stability. Dans </t>
    </r>
    <r>
      <rPr>
        <i/>
        <sz val="11"/>
        <color theme="1"/>
        <rFont val="Calibri"/>
        <family val="2"/>
        <scheme val="minor"/>
      </rPr>
      <t>Plos One</t>
    </r>
    <r>
      <rPr>
        <sz val="11"/>
        <color theme="1"/>
        <rFont val="Calibri"/>
        <family val="2"/>
        <scheme val="minor"/>
      </rPr>
      <t>. Vol 10(2). 20 pages.</t>
    </r>
  </si>
  <si>
    <t>A. Monoculture maïs
B. Maïs-Maïs-Soya-Soya
C. Maïs-Maïs-Luzerne-Luzerne
D. Maïs-Maïs-Soya-Blé d'automne
E. Maïs-Maïs-Avoine-Orge
F. Maïs-Maïs-Soya-Blé d'automne_CC de trèfle rouge dans blé d'automne
G. Maïs-Maïs-Avoine_CC de trèfle rouge dans l'avoine-Orge_CC de trèfle rouge dans l'orge</t>
  </si>
  <si>
    <t xml:space="preserve">La rotation B n'a aucune différence significative avec la rotation A. 
La rotation C permet des rendements de maïs 10 % plus élevés.
La rotation D n'a aucune différence significative pour le rendement du maïs que la rotation B, mais permet des rendements 14 % plus élevés pour le soya que la rotation B.
Les rotations E et F n'ont aucunes différences significatives avec la rotation B. 
La rotation G permet des rendements de 6 % plus élevés que la rotation B.
</t>
  </si>
  <si>
    <t>An 7</t>
  </si>
  <si>
    <t>An 8</t>
  </si>
  <si>
    <t>An 9</t>
  </si>
  <si>
    <t>-</t>
  </si>
  <si>
    <t>An 10</t>
  </si>
  <si>
    <t>Cet onglet permet de modifier les données initiales de l'entreprise agricole, notamment quant aux prix et aux rendements des différentes cultures. Le producteur peut donc inscrire ses propres prix et le rendement attendu dans les colonnes "Vos prix" et "Vos rendements". Si votre exploitation ne cultive pas cette production, ne rien inscrire dans la colonne "Vos rendements".
L'outil considère des gains agronomiques liés à la diversification de la rotation et à l'ajout d'une culture de couverture. Vous pouvez inscrire les gains agronomiques attendus liés à la diversification de la rotation dans la colonne "Vos gains agronomiques". De plus, nous considérons que la culture de couverture permet de compenser pour la fertilisation azotée. Vous pouvez inscrire la compensation azotée attendue dans vos champs.
Enfin, cet outil prend en compte que les gains provenant de la diversification de la rotation et de l'ajout de culture de couverture n'est pas instantanné. Ainsi, l'outil permet d'ajuster la portion des gains agronomiques attendus suite au premier cycle de rotation des cultures.</t>
  </si>
  <si>
    <t>Il est à noter que cet outil est un outil d'aide à la décision et il doit être utiliser uniquement en ce sens. Avant de prendre des décisions de production, nous recommandons à ce que le producteur consulte son agronome-conseil pour prendre en compte tous les facteurs spécifiques à son entreprise agricole.  Toutes décisions prises par les producteurs à l'aide de cet outil sont la responsabilité du producteur agricole et n'engage en aucun cas le groupe Concertation Grains Québec et les auteurs de l'outil.</t>
  </si>
  <si>
    <t>Marlène Thiboutot, Concertation Grains Québec.</t>
  </si>
  <si>
    <t>marlenethiboutot@concertationgrainsquebec.ca</t>
  </si>
  <si>
    <t>Cycle 1</t>
  </si>
  <si>
    <t>Cycle 2</t>
  </si>
  <si>
    <t>Cycle 3</t>
  </si>
  <si>
    <t>AUTRES PRATIQUES BÉNÉFIQUES</t>
  </si>
  <si>
    <t>Cette section vous permet d'inscrire d'autres coûts de pratiques de gestion bénéfiques que vous utilisez sur votre production agricole.</t>
  </si>
  <si>
    <t>Autres coûts</t>
  </si>
  <si>
    <t>Vos autres coûts</t>
  </si>
  <si>
    <t>Intrants de cultures</t>
  </si>
  <si>
    <t>Forfait et location</t>
  </si>
  <si>
    <t>Entretien</t>
  </si>
  <si>
    <t>Énergie</t>
  </si>
  <si>
    <t>FRAIS MONÉTAIRE</t>
  </si>
  <si>
    <t>MARGE BÉNÉFICIAIRE APRÈS LES AMORTISSEMENTS ET LES RÉNUMÉRATIONS DU TRAVAIL (MARGE NETTE)</t>
  </si>
  <si>
    <t>Taxes et assurances</t>
  </si>
  <si>
    <t>Frais de financement</t>
  </si>
  <si>
    <t>FRAIS NON MONÉTAIRE</t>
  </si>
  <si>
    <t>Agri-Québec et Agri-Investissement</t>
  </si>
  <si>
    <t>Correspond à un mélange de pois fourrager et avoine. Les doses de semis proviennent du guide des cultures de couverture en grandes cultures provenant du CRAAQ. Le coût des semences provient des références économiques du CRAAQ sur les grains de semences. Le coût du semis-direct provient des références économique du CRAAQ sur la machinerie.</t>
  </si>
  <si>
    <t>Marge bénéficiaire après frais monétaires (marge monétaires)</t>
  </si>
  <si>
    <t>Marge bénéficiaire après les amortissements et la rémunération du travail (marge nette)</t>
  </si>
  <si>
    <t>Chanvre</t>
  </si>
  <si>
    <t>Sarrasin</t>
  </si>
  <si>
    <t>Périphérique Biologique</t>
  </si>
  <si>
    <t>Périphérique</t>
  </si>
  <si>
    <t>Mélange avoine-pois précédant un maïs</t>
  </si>
  <si>
    <t>Prairie</t>
  </si>
  <si>
    <t>An 11</t>
  </si>
  <si>
    <t>An 12</t>
  </si>
  <si>
    <t>An 13</t>
  </si>
  <si>
    <t>An 14</t>
  </si>
  <si>
    <t>An 15</t>
  </si>
  <si>
    <t>Seigle hybride d'automne</t>
  </si>
  <si>
    <t>Résultats détaillés</t>
  </si>
  <si>
    <t>Résultats sommaires</t>
  </si>
  <si>
    <t>CONCEPTEURS</t>
  </si>
  <si>
    <t>Oui</t>
  </si>
  <si>
    <t>GAINS PROGRESSIFS</t>
  </si>
  <si>
    <t>Rendements utilisés par le modèle (t/ha)</t>
  </si>
  <si>
    <t>Prix utilisés par le modèle ($/t)</t>
  </si>
  <si>
    <t>CHANVRE - ORGE - AVOINE - SARRASIN - ENGRAIS VERTS</t>
  </si>
  <si>
    <t>CHANVRE - SEIGLE - AVOINE - SARRASIN - ENGRAIS VERTS</t>
  </si>
  <si>
    <t>CHANVRE - SEIGLE HYBRIDE D'AUTOMNE - AVOINE - SARRASIN - ENGRAIS VERTS</t>
  </si>
  <si>
    <t>An 16</t>
  </si>
  <si>
    <t>An 17</t>
  </si>
  <si>
    <t>An 18</t>
  </si>
  <si>
    <t>CHANVRE - BLÉ DE PRINTEMPS PANIFIABLE - AVOINE - SARRASIN - ENGRAIS VERTS</t>
  </si>
  <si>
    <t>CHANVRE - BLÉ D'AUTOMNE PANIFIABLE - AVOINE - SARRASIN - ENGRAIS VERTS</t>
  </si>
  <si>
    <t>BLÉ DE PRINTEMPS PANIFIABLE - AVOINE - BLÉ DE PRINTEMPS PANIFIABLE - PRAIRIE (2 ANS)</t>
  </si>
  <si>
    <t>BLÉ D'AUTOMNE PANIFIABLE - AVOINE - BLÉ DE PRINTEMPS PANIFIABLE- PRAIRIES (2 ANS)</t>
  </si>
  <si>
    <t>ORGE - AVOINE - BLÉ DE PRINTEMPS PANIFIABLE - PRAIRIES (2 ANS)</t>
  </si>
  <si>
    <t>SEIGLE - AVOINE - BLÉ DE PRINTEMPS PANIFIABLE - PRAIRIES (2 ANS)</t>
  </si>
  <si>
    <t>SEIGLE HYBRIDE D'AUTOMNE- AVOINE - BLÉ DE PRINTEMPS PANIFIABLE - PRAIRIES (2 ANS)</t>
  </si>
  <si>
    <t>CHANVRE - BLÉ D'AUTOMNE PANIFIABLE - SARRASIN - BLÉ DE PRINTEMPS PANIFIABLE - PRAIRIES (2 ANS)</t>
  </si>
  <si>
    <t>CHANVRE - BLÉ DE PRINTEMPS PANIFIABLE - SARRASIN - BLÉ DE PRINTEMPS PANIFIABLE - PRAIRIES (2 ANS)</t>
  </si>
  <si>
    <t>CHANVRE - ORGE - SARRASIN - BLÉ DE PRINTEMPS PANIFIABLE - PRAIRIES (2 ANS)</t>
  </si>
  <si>
    <t>CHANVRE - AVOINE - SARRASIN - BLÉ DE PRINTEMPS PANIFIABLE - PRAIRIES (2 ANS)</t>
  </si>
  <si>
    <t>CHANVRE - SEIGLE - SARRASIN - BLÉ DE PRINTEMPS PANIFIABLE - PRAIRIES (2 ANS)</t>
  </si>
  <si>
    <t>CHANVRE - SEIGLE HYBRIDE D'AUTOMNE - SARRASIN - BLÉ DE PRINTEMPS PANIFIABLE - PRAIRIES (2 ANS)</t>
  </si>
  <si>
    <t>Gains agronomiques</t>
  </si>
  <si>
    <t>Cet onglet présente les différents gains agronomiques attendus lors de la diversification de la rotation et l'ajout de cultures de couverture. Ces données devront être mises à jour périodiquement.</t>
  </si>
  <si>
    <t>Cet onglet présente les coûts relatifs à la cultures de couverture.</t>
  </si>
  <si>
    <t>Cet onglet présente les résultats des marges bénéficiaires brutes, des marges monétaires et des marges nettes selon les différents cycles de rotations. Les résultats sont divisés entre ceux obtenus par le modèle (bleu) et ceux incorporant les modifications effectuées par l'usager (orange). Il s'agit d'une récapitulation des résultats.</t>
  </si>
  <si>
    <t>Le présent outil est la propriété de Lota D. Tamini et de Philippe Leriche. Les propriétaires autorisent le groupe Concertation Grains Québec à diffuser l'outil, mais n'autorisent pas la commercialisation de celui-ci. Toutes autres diffusions ou commercialisations ne peuvent se faire sans l'autorisation écrites de ses propriétaires.</t>
  </si>
  <si>
    <t>Chanvre / Sarrasin / Orge / Avoine / Blé de printemps / Blé d'automne / Seigle / Seigle hybride / Prairie</t>
  </si>
  <si>
    <t>Le modèle considère que les gains agronomiques attendus ne seront pas perçus lors du premier cycle de rotation puisqu'il y a une courbe d'apprentissage lorsque l'on se familiarise avec une nouvelle technique et pour prendre en compte l'amélioration progressive de la terre. Le modèle considère donc des portions des gains agronomiques présentés ici. Si ces gains ne reflètent pas ceux observés sur votre ferme, nous vous invitons à les indiquer dans la colonne inscrite à cet effet.</t>
  </si>
  <si>
    <t>Gains agronomiques - Cycle 1</t>
  </si>
  <si>
    <t>Gains agronomiques - Cycle 2</t>
  </si>
  <si>
    <t>Gains agronomiques - Cycle 3</t>
  </si>
  <si>
    <t>ROTATIONS</t>
  </si>
  <si>
    <t>Marge bénéficiaire après frais monétaires, moyenne annuelle ($/ha)</t>
  </si>
  <si>
    <t>Moyenne annuelle
Cycle 1</t>
  </si>
  <si>
    <t>Moyenne annuelle
Cycle 2</t>
  </si>
  <si>
    <t>Moyenne annuelle
Cycle 3</t>
  </si>
  <si>
    <t>Moyenne annuelle des trois cycles</t>
  </si>
  <si>
    <t>Marge bénéficiaire après amortissement et rémunération du travail, moyenne annuelle ($/ha)</t>
  </si>
  <si>
    <t>Marge bénéficiaire après frais monétaires de votre ferme, moyenne annuelle ($/ha)</t>
  </si>
  <si>
    <t>Marge bénéficiaire après amortissement et rémunération du travail de votre ferme, moyenne annuelle ($/ha)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</si>
</sst>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0.0"/>
    <numFmt numFmtId="166" formatCode="#\ ##0\ &quot;$&quot;"/>
  </numFmts>
  <fonts count="10" x14ac:knownFonts="1">
    <font>
      <sz val="11"/>
      <color theme="1"/>
      <name val="Calibri"/>
      <family val="2"/>
      <scheme val="minor"/>
    </font>
    <font>
      <b/>
      <sz val="11"/>
      <color theme="1"/>
      <name val="Calibri"/>
      <family val="2"/>
      <scheme val="minor"/>
    </font>
    <font>
      <vertAlign val="superscript"/>
      <sz val="11"/>
      <color theme="1"/>
      <name val="Calibri"/>
      <family val="2"/>
      <scheme val="minor"/>
    </font>
    <font>
      <b/>
      <sz val="12"/>
      <color theme="1"/>
      <name val="Calibri"/>
      <family val="2"/>
      <scheme val="minor"/>
    </font>
    <font>
      <b/>
      <sz val="14"/>
      <color theme="1"/>
      <name val="Calibri"/>
      <family val="2"/>
      <scheme val="minor"/>
    </font>
    <font>
      <i/>
      <sz val="11"/>
      <color theme="1"/>
      <name val="Calibri"/>
      <family val="2"/>
      <scheme val="minor"/>
    </font>
    <font>
      <sz val="8"/>
      <name val="Calibri"/>
      <family val="2"/>
      <scheme val="minor"/>
    </font>
    <font>
      <u/>
      <sz val="11"/>
      <color theme="10"/>
      <name val="Calibri"/>
      <family val="2"/>
      <scheme val="minor"/>
    </font>
    <font>
      <sz val="11"/>
      <name val="Calibri"/>
      <family val="2"/>
      <scheme val="minor"/>
    </font>
    <font>
      <sz val="11"/>
      <color theme="1"/>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5" tint="0.59999389629810485"/>
        <bgColor indexed="64"/>
      </patternFill>
    </fill>
  </fills>
  <borders count="31">
    <border>
      <left/>
      <right/>
      <top/>
      <bottom/>
      <diagonal/>
    </border>
    <border>
      <left style="dashed">
        <color auto="1"/>
      </left>
      <right style="dashed">
        <color auto="1"/>
      </right>
      <top style="dashed">
        <color auto="1"/>
      </top>
      <bottom style="dashed">
        <color auto="1"/>
      </bottom>
      <diagonal/>
    </border>
    <border>
      <left/>
      <right/>
      <top style="thin">
        <color auto="1"/>
      </top>
      <bottom/>
      <diagonal/>
    </border>
    <border>
      <left/>
      <right/>
      <top style="thin">
        <color indexed="64"/>
      </top>
      <bottom style="double">
        <color indexed="64"/>
      </bottom>
      <diagonal/>
    </border>
    <border>
      <left/>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thin">
        <color indexed="64"/>
      </right>
      <top style="dashed">
        <color indexed="64"/>
      </top>
      <bottom style="dashed">
        <color indexed="64"/>
      </bottom>
      <diagonal/>
    </border>
    <border>
      <left style="thin">
        <color indexed="64"/>
      </left>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dashed">
        <color auto="1"/>
      </top>
      <bottom/>
      <diagonal/>
    </border>
    <border>
      <left style="dashed">
        <color indexed="64"/>
      </left>
      <right/>
      <top style="thin">
        <color indexed="64"/>
      </top>
      <bottom style="thin">
        <color indexed="64"/>
      </bottom>
      <diagonal/>
    </border>
    <border>
      <left style="dashed">
        <color indexed="64"/>
      </left>
      <right/>
      <top style="thin">
        <color indexed="64"/>
      </top>
      <bottom style="dashed">
        <color indexed="64"/>
      </bottom>
      <diagonal/>
    </border>
    <border>
      <left style="dashed">
        <color auto="1"/>
      </left>
      <right/>
      <top style="dashed">
        <color auto="1"/>
      </top>
      <bottom style="dashed">
        <color auto="1"/>
      </bottom>
      <diagonal/>
    </border>
    <border>
      <left style="thin">
        <color indexed="64"/>
      </left>
      <right style="thin">
        <color indexed="64"/>
      </right>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dashed">
        <color auto="1"/>
      </left>
      <right/>
      <top/>
      <bottom style="dashed">
        <color auto="1"/>
      </bottom>
      <diagonal/>
    </border>
    <border>
      <left/>
      <right style="thin">
        <color auto="1"/>
      </right>
      <top style="thin">
        <color auto="1"/>
      </top>
      <bottom style="thin">
        <color auto="1"/>
      </bottom>
      <diagonal/>
    </border>
    <border>
      <left/>
      <right/>
      <top/>
      <bottom style="thin">
        <color indexed="64"/>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7" fillId="0" borderId="0" applyNumberFormat="0" applyFill="0" applyBorder="0" applyAlignment="0" applyProtection="0"/>
    <xf numFmtId="9" fontId="9" fillId="0" borderId="0" applyFont="0" applyFill="0" applyBorder="0" applyAlignment="0" applyProtection="0"/>
  </cellStyleXfs>
  <cellXfs count="103">
    <xf numFmtId="0" fontId="0" fillId="0" borderId="0" xfId="0"/>
    <xf numFmtId="0" fontId="1" fillId="0" borderId="0" xfId="0" applyFont="1"/>
    <xf numFmtId="0" fontId="1" fillId="0" borderId="0" xfId="0" applyFont="1" applyAlignment="1">
      <alignment horizontal="center"/>
    </xf>
    <xf numFmtId="2" fontId="0" fillId="0" borderId="0" xfId="0" applyNumberFormat="1"/>
    <xf numFmtId="2" fontId="1" fillId="0" borderId="0" xfId="0" applyNumberFormat="1" applyFont="1"/>
    <xf numFmtId="2" fontId="0" fillId="2" borderId="1" xfId="0" applyNumberFormat="1" applyFill="1" applyBorder="1"/>
    <xf numFmtId="2" fontId="1" fillId="0" borderId="2" xfId="0" applyNumberFormat="1" applyFont="1" applyBorder="1"/>
    <xf numFmtId="2" fontId="1" fillId="0" borderId="3" xfId="0" applyNumberFormat="1" applyFont="1" applyBorder="1"/>
    <xf numFmtId="0" fontId="1" fillId="0" borderId="4" xfId="0" applyFont="1" applyBorder="1"/>
    <xf numFmtId="0" fontId="0" fillId="0" borderId="4" xfId="0" applyBorder="1"/>
    <xf numFmtId="0" fontId="1" fillId="0" borderId="0" xfId="0" applyFont="1" applyAlignment="1">
      <alignment vertical="center"/>
    </xf>
    <xf numFmtId="0" fontId="1" fillId="0" borderId="0" xfId="0" applyFont="1" applyAlignment="1">
      <alignment vertical="center" wrapText="1"/>
    </xf>
    <xf numFmtId="0" fontId="3" fillId="0" borderId="0" xfId="0" applyFont="1" applyAlignment="1">
      <alignment horizontal="center"/>
    </xf>
    <xf numFmtId="0" fontId="1" fillId="0" borderId="7" xfId="0" applyFont="1" applyBorder="1" applyAlignment="1">
      <alignment horizontal="center"/>
    </xf>
    <xf numFmtId="0" fontId="1" fillId="0" borderId="5" xfId="0" applyFont="1" applyBorder="1" applyAlignment="1">
      <alignment horizontal="center"/>
    </xf>
    <xf numFmtId="0" fontId="0" fillId="0" borderId="12" xfId="0" applyBorder="1"/>
    <xf numFmtId="0" fontId="0" fillId="0" borderId="13" xfId="0" applyBorder="1"/>
    <xf numFmtId="0" fontId="1" fillId="0" borderId="6" xfId="0" applyFont="1" applyBorder="1" applyAlignment="1">
      <alignment horizontal="center"/>
    </xf>
    <xf numFmtId="0" fontId="0" fillId="3" borderId="0" xfId="0" applyFill="1" applyAlignment="1">
      <alignment horizontal="center"/>
    </xf>
    <xf numFmtId="0" fontId="0" fillId="4" borderId="0" xfId="0" applyFill="1" applyAlignment="1">
      <alignment horizontal="center"/>
    </xf>
    <xf numFmtId="0" fontId="0" fillId="5" borderId="1" xfId="0" applyFill="1" applyBorder="1"/>
    <xf numFmtId="0" fontId="3" fillId="3" borderId="4" xfId="0" applyFont="1" applyFill="1" applyBorder="1" applyAlignment="1">
      <alignment horizontal="center"/>
    </xf>
    <xf numFmtId="0" fontId="3" fillId="4" borderId="4" xfId="0" applyFont="1" applyFill="1" applyBorder="1" applyAlignment="1">
      <alignment horizontal="center"/>
    </xf>
    <xf numFmtId="0" fontId="3" fillId="6" borderId="4" xfId="0" applyFont="1" applyFill="1" applyBorder="1" applyAlignment="1">
      <alignment horizontal="center"/>
    </xf>
    <xf numFmtId="0" fontId="0" fillId="0" borderId="0" xfId="0" applyAlignment="1">
      <alignment vertical="center"/>
    </xf>
    <xf numFmtId="0" fontId="0" fillId="0" borderId="0" xfId="0" applyAlignment="1">
      <alignment vertical="center" wrapText="1"/>
    </xf>
    <xf numFmtId="0" fontId="1" fillId="0" borderId="0" xfId="0" applyFont="1" applyAlignment="1">
      <alignment horizontal="left" wrapText="1"/>
    </xf>
    <xf numFmtId="9" fontId="0" fillId="0" borderId="0" xfId="0" applyNumberFormat="1"/>
    <xf numFmtId="0" fontId="0" fillId="0" borderId="0" xfId="0" applyAlignment="1">
      <alignment horizontal="center"/>
    </xf>
    <xf numFmtId="0" fontId="0" fillId="0" borderId="0" xfId="0" applyAlignment="1">
      <alignment horizontal="left" wrapText="1"/>
    </xf>
    <xf numFmtId="0" fontId="0" fillId="0" borderId="0" xfId="0" applyAlignment="1">
      <alignment horizontal="left" indent="2"/>
    </xf>
    <xf numFmtId="0" fontId="1" fillId="0" borderId="14" xfId="0" applyFont="1" applyBorder="1" applyAlignment="1">
      <alignment horizontal="center"/>
    </xf>
    <xf numFmtId="0" fontId="3" fillId="6" borderId="15" xfId="0" applyFont="1" applyFill="1" applyBorder="1" applyAlignment="1">
      <alignment horizontal="center"/>
    </xf>
    <xf numFmtId="0" fontId="0" fillId="0" borderId="14" xfId="0" applyBorder="1"/>
    <xf numFmtId="2" fontId="0" fillId="0" borderId="14" xfId="0" applyNumberFormat="1" applyBorder="1"/>
    <xf numFmtId="0" fontId="1" fillId="0" borderId="17" xfId="0" applyFont="1" applyBorder="1" applyAlignment="1">
      <alignment horizontal="center"/>
    </xf>
    <xf numFmtId="1" fontId="0" fillId="0" borderId="0" xfId="0" applyNumberFormat="1"/>
    <xf numFmtId="0" fontId="0" fillId="0" borderId="20" xfId="0" applyBorder="1"/>
    <xf numFmtId="165" fontId="0" fillId="0" borderId="0" xfId="0" applyNumberFormat="1"/>
    <xf numFmtId="0" fontId="7" fillId="0" borderId="0" xfId="1"/>
    <xf numFmtId="164" fontId="0" fillId="0" borderId="0" xfId="0" applyNumberFormat="1"/>
    <xf numFmtId="164" fontId="0" fillId="5" borderId="1" xfId="0" applyNumberFormat="1" applyFill="1" applyBorder="1"/>
    <xf numFmtId="2" fontId="1" fillId="0" borderId="16" xfId="0" applyNumberFormat="1" applyFont="1" applyBorder="1"/>
    <xf numFmtId="2" fontId="8" fillId="0" borderId="0" xfId="0" applyNumberFormat="1" applyFont="1"/>
    <xf numFmtId="0" fontId="0" fillId="0" borderId="21" xfId="0" applyBorder="1"/>
    <xf numFmtId="0" fontId="0" fillId="0" borderId="22" xfId="0" applyBorder="1"/>
    <xf numFmtId="2" fontId="0" fillId="0" borderId="25" xfId="0" applyNumberFormat="1" applyBorder="1" applyAlignment="1">
      <alignment horizontal="center"/>
    </xf>
    <xf numFmtId="0" fontId="0" fillId="0" borderId="0" xfId="0" quotePrefix="1"/>
    <xf numFmtId="2" fontId="0" fillId="0" borderId="8" xfId="0" applyNumberFormat="1" applyBorder="1" applyAlignment="1">
      <alignment horizontal="right"/>
    </xf>
    <xf numFmtId="2" fontId="0" fillId="0" borderId="9" xfId="0" applyNumberFormat="1" applyBorder="1" applyAlignment="1">
      <alignment horizontal="right"/>
    </xf>
    <xf numFmtId="2" fontId="0" fillId="0" borderId="18" xfId="0" applyNumberFormat="1" applyBorder="1" applyAlignment="1">
      <alignment horizontal="right"/>
    </xf>
    <xf numFmtId="2" fontId="0" fillId="0" borderId="11" xfId="0" applyNumberFormat="1" applyBorder="1" applyAlignment="1">
      <alignment horizontal="right"/>
    </xf>
    <xf numFmtId="2" fontId="0" fillId="0" borderId="10" xfId="0" applyNumberFormat="1" applyBorder="1" applyAlignment="1">
      <alignment horizontal="right"/>
    </xf>
    <xf numFmtId="2" fontId="0" fillId="0" borderId="1" xfId="0" applyNumberFormat="1" applyBorder="1" applyAlignment="1">
      <alignment horizontal="right"/>
    </xf>
    <xf numFmtId="2" fontId="0" fillId="0" borderId="19" xfId="0" applyNumberFormat="1" applyBorder="1" applyAlignment="1">
      <alignment horizontal="right"/>
    </xf>
    <xf numFmtId="2" fontId="0" fillId="0" borderId="25" xfId="0" applyNumberFormat="1" applyBorder="1" applyAlignment="1">
      <alignment horizontal="right"/>
    </xf>
    <xf numFmtId="2" fontId="0" fillId="0" borderId="25" xfId="0" quotePrefix="1" applyNumberFormat="1" applyBorder="1" applyAlignment="1">
      <alignment horizontal="center"/>
    </xf>
    <xf numFmtId="9" fontId="0" fillId="5" borderId="1" xfId="2" applyFont="1" applyFill="1" applyBorder="1"/>
    <xf numFmtId="0" fontId="0" fillId="0" borderId="0" xfId="0" applyAlignment="1">
      <alignment wrapText="1"/>
    </xf>
    <xf numFmtId="0" fontId="1" fillId="6" borderId="0" xfId="0" applyFont="1" applyFill="1"/>
    <xf numFmtId="0" fontId="8" fillId="0" borderId="0" xfId="0" applyFont="1"/>
    <xf numFmtId="0" fontId="1" fillId="7" borderId="0" xfId="0" applyFont="1" applyFill="1"/>
    <xf numFmtId="0" fontId="1" fillId="4" borderId="0" xfId="0" applyFont="1" applyFill="1" applyAlignment="1">
      <alignment horizontal="left"/>
    </xf>
    <xf numFmtId="0" fontId="1" fillId="8" borderId="0" xfId="0" applyFont="1" applyFill="1" applyAlignment="1">
      <alignment horizontal="left"/>
    </xf>
    <xf numFmtId="0" fontId="1" fillId="0" borderId="21" xfId="0" applyFont="1" applyBorder="1" applyAlignment="1">
      <alignment horizontal="center" wrapText="1"/>
    </xf>
    <xf numFmtId="0" fontId="1" fillId="0" borderId="20" xfId="0" applyFont="1" applyBorder="1" applyAlignment="1">
      <alignment horizontal="center" wrapText="1"/>
    </xf>
    <xf numFmtId="0" fontId="1" fillId="0" borderId="14" xfId="0" applyFont="1" applyBorder="1" applyAlignment="1">
      <alignment horizontal="center" wrapText="1"/>
    </xf>
    <xf numFmtId="166" fontId="0" fillId="0" borderId="23" xfId="0" applyNumberFormat="1" applyBorder="1"/>
    <xf numFmtId="166" fontId="0" fillId="0" borderId="24" xfId="0" applyNumberFormat="1" applyBorder="1"/>
    <xf numFmtId="166" fontId="0" fillId="0" borderId="0" xfId="0" applyNumberFormat="1"/>
    <xf numFmtId="166" fontId="0" fillId="0" borderId="29" xfId="0" applyNumberFormat="1" applyBorder="1"/>
    <xf numFmtId="166" fontId="0" fillId="0" borderId="15" xfId="0" applyNumberFormat="1" applyBorder="1"/>
    <xf numFmtId="166" fontId="0" fillId="0" borderId="30" xfId="0" applyNumberFormat="1" applyBorder="1"/>
    <xf numFmtId="166" fontId="0" fillId="0" borderId="28" xfId="0" applyNumberFormat="1" applyBorder="1"/>
    <xf numFmtId="0" fontId="1" fillId="4" borderId="0" xfId="0" applyFont="1" applyFill="1"/>
    <xf numFmtId="0" fontId="1" fillId="8" borderId="0" xfId="0" applyFont="1" applyFill="1"/>
    <xf numFmtId="0" fontId="0" fillId="0" borderId="2" xfId="0" applyBorder="1" applyAlignment="1">
      <alignment horizontal="left" vertical="top" wrapText="1"/>
    </xf>
    <xf numFmtId="0" fontId="0" fillId="0" borderId="0" xfId="0" applyAlignment="1">
      <alignment horizontal="left" wrapText="1"/>
    </xf>
    <xf numFmtId="0" fontId="0" fillId="0" borderId="0" xfId="0" applyAlignment="1">
      <alignment horizontal="left" vertical="top" wrapText="1"/>
    </xf>
    <xf numFmtId="0" fontId="1" fillId="0" borderId="0" xfId="0" applyFont="1" applyAlignment="1">
      <alignment horizontal="center"/>
    </xf>
    <xf numFmtId="0" fontId="0" fillId="0" borderId="0" xfId="0" applyAlignment="1">
      <alignment horizontal="center"/>
    </xf>
    <xf numFmtId="0" fontId="0" fillId="0" borderId="2" xfId="0" applyBorder="1" applyAlignment="1">
      <alignment horizontal="left" wrapText="1"/>
    </xf>
    <xf numFmtId="0" fontId="0" fillId="0" borderId="0" xfId="0" applyAlignment="1">
      <alignment horizontal="center" vertical="center" wrapText="1"/>
    </xf>
    <xf numFmtId="0" fontId="1" fillId="0" borderId="0" xfId="0" applyFont="1" applyAlignment="1">
      <alignment horizontal="left" wrapText="1"/>
    </xf>
    <xf numFmtId="0" fontId="1" fillId="0" borderId="21" xfId="0" applyFont="1" applyBorder="1" applyAlignment="1">
      <alignment horizontal="center"/>
    </xf>
    <xf numFmtId="0" fontId="1" fillId="0" borderId="14" xfId="0" applyFont="1" applyBorder="1" applyAlignment="1">
      <alignment horizontal="center"/>
    </xf>
    <xf numFmtId="0" fontId="3" fillId="4" borderId="0" xfId="0" applyFont="1" applyFill="1" applyAlignment="1">
      <alignment horizontal="center"/>
    </xf>
    <xf numFmtId="0" fontId="4" fillId="4" borderId="0" xfId="0" applyFont="1" applyFill="1" applyAlignment="1">
      <alignment horizontal="center"/>
    </xf>
    <xf numFmtId="0" fontId="3" fillId="8" borderId="0" xfId="0" applyFont="1" applyFill="1" applyAlignment="1">
      <alignment horizontal="center"/>
    </xf>
    <xf numFmtId="0" fontId="4" fillId="8" borderId="0" xfId="0" applyFont="1" applyFill="1" applyAlignment="1">
      <alignment horizontal="center"/>
    </xf>
    <xf numFmtId="0" fontId="4" fillId="6" borderId="0" xfId="0" applyFont="1" applyFill="1" applyAlignment="1">
      <alignment horizontal="center"/>
    </xf>
    <xf numFmtId="0" fontId="3" fillId="6" borderId="0" xfId="0" applyFont="1" applyFill="1" applyAlignment="1">
      <alignment horizontal="center"/>
    </xf>
    <xf numFmtId="0" fontId="4" fillId="7" borderId="0" xfId="0" applyFont="1" applyFill="1" applyAlignment="1">
      <alignment horizontal="center"/>
    </xf>
    <xf numFmtId="0" fontId="3" fillId="7" borderId="0" xfId="0" applyFont="1" applyFill="1" applyAlignment="1">
      <alignment horizontal="center"/>
    </xf>
    <xf numFmtId="0" fontId="3" fillId="0" borderId="15" xfId="0" applyFont="1" applyBorder="1" applyAlignment="1">
      <alignment horizontal="center"/>
    </xf>
    <xf numFmtId="0" fontId="3" fillId="0" borderId="4" xfId="0" applyFont="1" applyBorder="1" applyAlignment="1">
      <alignment horizontal="center"/>
    </xf>
    <xf numFmtId="0" fontId="3" fillId="0" borderId="26" xfId="0" applyFont="1" applyBorder="1" applyAlignment="1">
      <alignment horizontal="center"/>
    </xf>
    <xf numFmtId="0" fontId="3" fillId="0" borderId="24" xfId="0" applyFont="1" applyBorder="1" applyAlignment="1">
      <alignment horizontal="center"/>
    </xf>
    <xf numFmtId="0" fontId="3" fillId="0" borderId="27" xfId="0" applyFont="1" applyBorder="1" applyAlignment="1">
      <alignment horizontal="center"/>
    </xf>
    <xf numFmtId="0" fontId="1" fillId="6" borderId="0" xfId="0" applyFont="1" applyFill="1" applyAlignment="1">
      <alignment horizontal="center" wrapText="1"/>
    </xf>
    <xf numFmtId="0" fontId="1" fillId="7" borderId="0" xfId="0" applyFont="1" applyFill="1" applyAlignment="1">
      <alignment horizontal="center" wrapText="1"/>
    </xf>
    <xf numFmtId="0" fontId="1" fillId="4" borderId="0" xfId="0" applyFont="1" applyFill="1" applyAlignment="1">
      <alignment horizontal="center" wrapText="1"/>
    </xf>
    <xf numFmtId="0" fontId="1" fillId="8" borderId="0" xfId="0" applyFont="1" applyFill="1" applyAlignment="1">
      <alignment horizontal="center" wrapText="1"/>
    </xf>
  </cellXfs>
  <cellStyles count="3">
    <cellStyle name="Lien hypertexte" xfId="1" builtinId="8"/>
    <cellStyle name="Normal" xfId="0" builtinId="0"/>
    <cellStyle name="Pourcentag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Arial Narrow" panose="020B0606020202030204" pitchFamily="34" charset="0"/>
                <a:ea typeface="+mn-ea"/>
                <a:cs typeface="+mn-cs"/>
              </a:defRPr>
            </a:pPr>
            <a:r>
              <a:rPr lang="en-CA"/>
              <a:t>Marge bénéficiaire après frais monétaires,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Arial Narrow" panose="020B0606020202030204" pitchFamily="34" charset="0"/>
              <a:ea typeface="+mn-ea"/>
              <a:cs typeface="+mn-cs"/>
            </a:defRPr>
          </a:pPr>
          <a:endParaRPr lang="fr-FR"/>
        </a:p>
      </c:txPr>
    </c:title>
    <c:autoTitleDeleted val="0"/>
    <c:plotArea>
      <c:layout/>
      <c:lineChart>
        <c:grouping val="standard"/>
        <c:varyColors val="0"/>
        <c:ser>
          <c:idx val="0"/>
          <c:order val="0"/>
          <c:tx>
            <c:strRef>
              <c:f>Résultats_sommaires!$A$15</c:f>
              <c:strCache>
                <c:ptCount val="1"/>
                <c:pt idx="0">
                  <c:v>CHANVRE - BLÉ D'AUTOMNE PANIFIABLE - SARRASIN - BLÉ DE PRINTEMPS PANIFIABLE - PRAIRIES (2 ANS)</c:v>
                </c:pt>
              </c:strCache>
            </c:strRef>
          </c:tx>
          <c:spPr>
            <a:ln w="28575" cap="rnd">
              <a:solidFill>
                <a:schemeClr val="accent1"/>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Résultats_sommaires!$B$15:$D$15</c:f>
              <c:numCache>
                <c:formatCode>#\ ##0\ "$"</c:formatCode>
                <c:ptCount val="3"/>
                <c:pt idx="0">
                  <c:v>679.07052149999993</c:v>
                </c:pt>
                <c:pt idx="1">
                  <c:v>684.9038548333333</c:v>
                </c:pt>
                <c:pt idx="2">
                  <c:v>690.73718816666667</c:v>
                </c:pt>
              </c:numCache>
            </c:numRef>
          </c:val>
          <c:smooth val="0"/>
          <c:extLst>
            <c:ext xmlns:c16="http://schemas.microsoft.com/office/drawing/2014/chart" uri="{C3380CC4-5D6E-409C-BE32-E72D297353CC}">
              <c16:uniqueId val="{00000000-D2A2-49F7-BACB-36A229F106B0}"/>
            </c:ext>
          </c:extLst>
        </c:ser>
        <c:ser>
          <c:idx val="1"/>
          <c:order val="1"/>
          <c:tx>
            <c:strRef>
              <c:f>Résultats_sommaires!$A$16</c:f>
              <c:strCache>
                <c:ptCount val="1"/>
                <c:pt idx="0">
                  <c:v>CHANVRE - BLÉ DE PRINTEMPS PANIFIABLE - SARRASIN - BLÉ DE PRINTEMPS PANIFIABLE - PRAIRIES (2 ANS)</c:v>
                </c:pt>
              </c:strCache>
            </c:strRef>
          </c:tx>
          <c:spPr>
            <a:ln w="28575" cap="rnd">
              <a:solidFill>
                <a:schemeClr val="accent2"/>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Résultats_sommaires!$B$16:$D$16</c:f>
              <c:numCache>
                <c:formatCode>#\ ##0\ "$"</c:formatCode>
                <c:ptCount val="3"/>
                <c:pt idx="0">
                  <c:v>609.88855333333322</c:v>
                </c:pt>
                <c:pt idx="1">
                  <c:v>615.72188666666659</c:v>
                </c:pt>
                <c:pt idx="2">
                  <c:v>621.55521999999985</c:v>
                </c:pt>
              </c:numCache>
            </c:numRef>
          </c:val>
          <c:smooth val="0"/>
          <c:extLst>
            <c:ext xmlns:c16="http://schemas.microsoft.com/office/drawing/2014/chart" uri="{C3380CC4-5D6E-409C-BE32-E72D297353CC}">
              <c16:uniqueId val="{00000001-D2A2-49F7-BACB-36A229F106B0}"/>
            </c:ext>
          </c:extLst>
        </c:ser>
        <c:ser>
          <c:idx val="2"/>
          <c:order val="2"/>
          <c:tx>
            <c:strRef>
              <c:f>Résultats_sommaires!$A$17</c:f>
              <c:strCache>
                <c:ptCount val="1"/>
                <c:pt idx="0">
                  <c:v>CHANVRE - ORGE - SARRASIN - BLÉ DE PRINTEMPS PANIFIABLE - PRAIRIES (2 ANS)</c:v>
                </c:pt>
              </c:strCache>
            </c:strRef>
          </c:tx>
          <c:spPr>
            <a:ln w="28575" cap="rnd">
              <a:solidFill>
                <a:schemeClr val="accent3"/>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Résultats_sommaires!$B$17:$D$17</c:f>
              <c:numCache>
                <c:formatCode>#\ ##0\ "$"</c:formatCode>
                <c:ptCount val="3"/>
                <c:pt idx="0">
                  <c:v>583.48928666666677</c:v>
                </c:pt>
                <c:pt idx="1">
                  <c:v>589.32262000000003</c:v>
                </c:pt>
                <c:pt idx="2">
                  <c:v>595.1559533333334</c:v>
                </c:pt>
              </c:numCache>
            </c:numRef>
          </c:val>
          <c:smooth val="0"/>
          <c:extLst>
            <c:ext xmlns:c16="http://schemas.microsoft.com/office/drawing/2014/chart" uri="{C3380CC4-5D6E-409C-BE32-E72D297353CC}">
              <c16:uniqueId val="{00000002-D2A2-49F7-BACB-36A229F106B0}"/>
            </c:ext>
          </c:extLst>
        </c:ser>
        <c:ser>
          <c:idx val="3"/>
          <c:order val="3"/>
          <c:tx>
            <c:strRef>
              <c:f>Résultats_sommaires!$A$18</c:f>
              <c:strCache>
                <c:ptCount val="1"/>
                <c:pt idx="0">
                  <c:v>CHANVRE - AVOINE - SARRASIN - BLÉ DE PRINTEMPS PANIFIABLE - PRAIRIES (2 ANS)</c:v>
                </c:pt>
              </c:strCache>
            </c:strRef>
          </c:tx>
          <c:spPr>
            <a:ln w="28575" cap="rnd">
              <a:solidFill>
                <a:schemeClr val="accent4"/>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Résultats_sommaires!$B$18:$D$18</c:f>
              <c:numCache>
                <c:formatCode>#\ ##0\ "$"</c:formatCode>
                <c:ptCount val="3"/>
                <c:pt idx="0">
                  <c:v>504.40967000000001</c:v>
                </c:pt>
                <c:pt idx="1">
                  <c:v>510.24300333333332</c:v>
                </c:pt>
                <c:pt idx="2">
                  <c:v>516.07633666666663</c:v>
                </c:pt>
              </c:numCache>
            </c:numRef>
          </c:val>
          <c:smooth val="0"/>
          <c:extLst>
            <c:ext xmlns:c16="http://schemas.microsoft.com/office/drawing/2014/chart" uri="{C3380CC4-5D6E-409C-BE32-E72D297353CC}">
              <c16:uniqueId val="{00000003-D2A2-49F7-BACB-36A229F106B0}"/>
            </c:ext>
          </c:extLst>
        </c:ser>
        <c:ser>
          <c:idx val="4"/>
          <c:order val="4"/>
          <c:tx>
            <c:strRef>
              <c:f>Résultats_sommaires!$A$19</c:f>
              <c:strCache>
                <c:ptCount val="1"/>
                <c:pt idx="0">
                  <c:v>CHANVRE - SEIGLE - SARRASIN - BLÉ DE PRINTEMPS PANIFIABLE - PRAIRIES (2 ANS)</c:v>
                </c:pt>
              </c:strCache>
            </c:strRef>
          </c:tx>
          <c:spPr>
            <a:ln w="28575" cap="rnd">
              <a:solidFill>
                <a:schemeClr val="accent5"/>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Résultats_sommaires!$B$19:$D$19</c:f>
              <c:numCache>
                <c:formatCode>#\ ##0\ "$"</c:formatCode>
                <c:ptCount val="3"/>
                <c:pt idx="0">
                  <c:v>568.70916999999997</c:v>
                </c:pt>
                <c:pt idx="1">
                  <c:v>574.54250333333323</c:v>
                </c:pt>
                <c:pt idx="2">
                  <c:v>580.3758366666666</c:v>
                </c:pt>
              </c:numCache>
            </c:numRef>
          </c:val>
          <c:smooth val="0"/>
          <c:extLst>
            <c:ext xmlns:c16="http://schemas.microsoft.com/office/drawing/2014/chart" uri="{C3380CC4-5D6E-409C-BE32-E72D297353CC}">
              <c16:uniqueId val="{00000004-D2A2-49F7-BACB-36A229F106B0}"/>
            </c:ext>
          </c:extLst>
        </c:ser>
        <c:ser>
          <c:idx val="5"/>
          <c:order val="5"/>
          <c:tx>
            <c:strRef>
              <c:f>Résultats_sommaires!$A$20</c:f>
              <c:strCache>
                <c:ptCount val="1"/>
                <c:pt idx="0">
                  <c:v>CHANVRE - SEIGLE HYBRIDE D'AUTOMNE - SARRASIN - BLÉ DE PRINTEMPS PANIFIABLE - PRAIRIES (2 ANS)</c:v>
                </c:pt>
              </c:strCache>
            </c:strRef>
          </c:tx>
          <c:spPr>
            <a:ln w="28575" cap="rnd">
              <a:solidFill>
                <a:schemeClr val="accent6"/>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Résultats_sommaires!$B$20:$D$20</c:f>
              <c:numCache>
                <c:formatCode>#\ ##0\ "$"</c:formatCode>
                <c:ptCount val="3"/>
                <c:pt idx="0">
                  <c:v>726.28198666666651</c:v>
                </c:pt>
                <c:pt idx="1">
                  <c:v>732.11531999999988</c:v>
                </c:pt>
                <c:pt idx="2">
                  <c:v>737.94865333333325</c:v>
                </c:pt>
              </c:numCache>
            </c:numRef>
          </c:val>
          <c:smooth val="0"/>
          <c:extLst>
            <c:ext xmlns:c16="http://schemas.microsoft.com/office/drawing/2014/chart" uri="{C3380CC4-5D6E-409C-BE32-E72D297353CC}">
              <c16:uniqueId val="{00000003-14AE-49AA-A5C5-C36B0CAFDE39}"/>
            </c:ext>
          </c:extLst>
        </c:ser>
        <c:dLbls>
          <c:showLegendKey val="0"/>
          <c:showVal val="0"/>
          <c:showCatName val="0"/>
          <c:showSerName val="0"/>
          <c:showPercent val="0"/>
          <c:showBubbleSize val="0"/>
        </c:dLbls>
        <c:smooth val="0"/>
        <c:axId val="642569672"/>
        <c:axId val="642565408"/>
      </c:lineChart>
      <c:catAx>
        <c:axId val="6425696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crossAx val="642565408"/>
        <c:crosses val="autoZero"/>
        <c:auto val="1"/>
        <c:lblAlgn val="ctr"/>
        <c:lblOffset val="100"/>
        <c:noMultiLvlLbl val="0"/>
      </c:catAx>
      <c:valAx>
        <c:axId val="642565408"/>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crossAx val="6425696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ysClr val="windowText" lastClr="000000"/>
      </a:solidFill>
      <a:round/>
    </a:ln>
    <a:effectLst/>
  </c:spPr>
  <c:txPr>
    <a:bodyPr/>
    <a:lstStyle/>
    <a:p>
      <a:pPr>
        <a:defRPr sz="1100" b="1">
          <a:solidFill>
            <a:sysClr val="windowText" lastClr="000000"/>
          </a:solidFill>
          <a:latin typeface="Arial Narrow" panose="020B0606020202030204" pitchFamily="34" charset="0"/>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amortissement et rémunération du travail,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Résultats_sommaires!$A$39</c:f>
              <c:strCache>
                <c:ptCount val="1"/>
                <c:pt idx="0">
                  <c:v>CHANVRE - BLÉ D'AUTOMNE PANIFIABLE - SARRASIN - BLÉ DE PRINTEMPS PANIFIABLE - PRAIRIES (2 ANS)</c:v>
                </c:pt>
              </c:strCache>
            </c:strRef>
          </c:tx>
          <c:spPr>
            <a:ln w="28575" cap="rnd">
              <a:solidFill>
                <a:schemeClr val="accent1"/>
              </a:solidFill>
              <a:round/>
            </a:ln>
            <a:effectLst/>
          </c:spPr>
          <c:marker>
            <c:symbol val="none"/>
          </c:marker>
          <c:val>
            <c:numRef>
              <c:f>Résultats_sommaires!$B$39:$D$39</c:f>
              <c:numCache>
                <c:formatCode>#\ ##0\ "$"</c:formatCode>
                <c:ptCount val="3"/>
                <c:pt idx="0">
                  <c:v>31.660521499999959</c:v>
                </c:pt>
                <c:pt idx="1">
                  <c:v>37.493854833333295</c:v>
                </c:pt>
                <c:pt idx="2">
                  <c:v>43.327188166666623</c:v>
                </c:pt>
              </c:numCache>
            </c:numRef>
          </c:val>
          <c:smooth val="0"/>
          <c:extLst>
            <c:ext xmlns:c16="http://schemas.microsoft.com/office/drawing/2014/chart" uri="{C3380CC4-5D6E-409C-BE32-E72D297353CC}">
              <c16:uniqueId val="{00000000-7F11-4B29-8C09-8786A13ABF34}"/>
            </c:ext>
          </c:extLst>
        </c:ser>
        <c:ser>
          <c:idx val="1"/>
          <c:order val="1"/>
          <c:tx>
            <c:strRef>
              <c:f>Résultats_sommaires!$A$40</c:f>
              <c:strCache>
                <c:ptCount val="1"/>
                <c:pt idx="0">
                  <c:v>CHANVRE - BLÉ DE PRINTEMPS PANIFIABLE - SARRASIN - BLÉ DE PRINTEMPS PANIFIABLE - PRAIRIES (2 ANS)</c:v>
                </c:pt>
              </c:strCache>
            </c:strRef>
          </c:tx>
          <c:spPr>
            <a:ln w="28575" cap="rnd">
              <a:solidFill>
                <a:schemeClr val="accent2"/>
              </a:solidFill>
              <a:round/>
            </a:ln>
            <a:effectLst/>
          </c:spPr>
          <c:marker>
            <c:symbol val="none"/>
          </c:marker>
          <c:val>
            <c:numRef>
              <c:f>Résultats_sommaires!$B$40:$D$40</c:f>
              <c:numCache>
                <c:formatCode>#\ ##0\ "$"</c:formatCode>
                <c:ptCount val="3"/>
                <c:pt idx="0">
                  <c:v>-37.52144666666667</c:v>
                </c:pt>
                <c:pt idx="1">
                  <c:v>-31.688113333333337</c:v>
                </c:pt>
                <c:pt idx="2">
                  <c:v>-25.854780000000005</c:v>
                </c:pt>
              </c:numCache>
            </c:numRef>
          </c:val>
          <c:smooth val="0"/>
          <c:extLst>
            <c:ext xmlns:c16="http://schemas.microsoft.com/office/drawing/2014/chart" uri="{C3380CC4-5D6E-409C-BE32-E72D297353CC}">
              <c16:uniqueId val="{00000001-7F11-4B29-8C09-8786A13ABF34}"/>
            </c:ext>
          </c:extLst>
        </c:ser>
        <c:ser>
          <c:idx val="2"/>
          <c:order val="2"/>
          <c:tx>
            <c:strRef>
              <c:f>Résultats_sommaires!$A$41</c:f>
              <c:strCache>
                <c:ptCount val="1"/>
                <c:pt idx="0">
                  <c:v>CHANVRE - ORGE - SARRASIN - BLÉ DE PRINTEMPS PANIFIABLE - PRAIRIES (2 ANS)</c:v>
                </c:pt>
              </c:strCache>
            </c:strRef>
          </c:tx>
          <c:spPr>
            <a:ln w="28575" cap="rnd">
              <a:solidFill>
                <a:schemeClr val="accent3"/>
              </a:solidFill>
              <a:round/>
            </a:ln>
            <a:effectLst/>
          </c:spPr>
          <c:marker>
            <c:symbol val="none"/>
          </c:marker>
          <c:val>
            <c:numRef>
              <c:f>Résultats_sommaires!$B$41:$D$41</c:f>
              <c:numCache>
                <c:formatCode>#\ ##0\ "$"</c:formatCode>
                <c:ptCount val="3"/>
                <c:pt idx="0">
                  <c:v>-64.329046666666628</c:v>
                </c:pt>
                <c:pt idx="1">
                  <c:v>-58.495713333333299</c:v>
                </c:pt>
                <c:pt idx="2">
                  <c:v>-52.662379999999963</c:v>
                </c:pt>
              </c:numCache>
            </c:numRef>
          </c:val>
          <c:smooth val="0"/>
          <c:extLst>
            <c:ext xmlns:c16="http://schemas.microsoft.com/office/drawing/2014/chart" uri="{C3380CC4-5D6E-409C-BE32-E72D297353CC}">
              <c16:uniqueId val="{00000002-7F11-4B29-8C09-8786A13ABF34}"/>
            </c:ext>
          </c:extLst>
        </c:ser>
        <c:ser>
          <c:idx val="3"/>
          <c:order val="3"/>
          <c:tx>
            <c:strRef>
              <c:f>Résultats_sommaires!$A$42</c:f>
              <c:strCache>
                <c:ptCount val="1"/>
                <c:pt idx="0">
                  <c:v>CHANVRE - AVOINE - SARRASIN - BLÉ DE PRINTEMPS PANIFIABLE - PRAIRIES (2 ANS)</c:v>
                </c:pt>
              </c:strCache>
            </c:strRef>
          </c:tx>
          <c:spPr>
            <a:ln w="28575" cap="rnd">
              <a:solidFill>
                <a:schemeClr val="accent4"/>
              </a:solidFill>
              <a:round/>
            </a:ln>
            <a:effectLst/>
          </c:spPr>
          <c:marker>
            <c:symbol val="none"/>
          </c:marker>
          <c:val>
            <c:numRef>
              <c:f>Résultats_sommaires!$B$42:$D$42</c:f>
              <c:numCache>
                <c:formatCode>#\ ##0\ "$"</c:formatCode>
                <c:ptCount val="3"/>
                <c:pt idx="0">
                  <c:v>-127.12532999999996</c:v>
                </c:pt>
                <c:pt idx="1">
                  <c:v>-121.29199666666663</c:v>
                </c:pt>
                <c:pt idx="2">
                  <c:v>-115.45866333333329</c:v>
                </c:pt>
              </c:numCache>
            </c:numRef>
          </c:val>
          <c:smooth val="0"/>
          <c:extLst>
            <c:ext xmlns:c16="http://schemas.microsoft.com/office/drawing/2014/chart" uri="{C3380CC4-5D6E-409C-BE32-E72D297353CC}">
              <c16:uniqueId val="{00000003-7F11-4B29-8C09-8786A13ABF34}"/>
            </c:ext>
          </c:extLst>
        </c:ser>
        <c:ser>
          <c:idx val="4"/>
          <c:order val="4"/>
          <c:tx>
            <c:strRef>
              <c:f>Résultats_sommaires!$A$43</c:f>
              <c:strCache>
                <c:ptCount val="1"/>
                <c:pt idx="0">
                  <c:v>CHANVRE - SEIGLE - SARRASIN - BLÉ DE PRINTEMPS PANIFIABLE - PRAIRIES (2 ANS)</c:v>
                </c:pt>
              </c:strCache>
            </c:strRef>
          </c:tx>
          <c:spPr>
            <a:ln w="28575" cap="rnd">
              <a:solidFill>
                <a:schemeClr val="accent5"/>
              </a:solidFill>
              <a:round/>
            </a:ln>
            <a:effectLst/>
          </c:spPr>
          <c:marker>
            <c:symbol val="none"/>
          </c:marker>
          <c:val>
            <c:numRef>
              <c:f>Résultats_sommaires!$B$43:$D$43</c:f>
              <c:numCache>
                <c:formatCode>#\ ##0\ "$"</c:formatCode>
                <c:ptCount val="3"/>
                <c:pt idx="0">
                  <c:v>-73.160830000000033</c:v>
                </c:pt>
                <c:pt idx="1">
                  <c:v>-67.327496666666704</c:v>
                </c:pt>
                <c:pt idx="2">
                  <c:v>-61.494163333333368</c:v>
                </c:pt>
              </c:numCache>
            </c:numRef>
          </c:val>
          <c:smooth val="0"/>
          <c:extLst>
            <c:ext xmlns:c16="http://schemas.microsoft.com/office/drawing/2014/chart" uri="{C3380CC4-5D6E-409C-BE32-E72D297353CC}">
              <c16:uniqueId val="{00000004-7F11-4B29-8C09-8786A13ABF34}"/>
            </c:ext>
          </c:extLst>
        </c:ser>
        <c:ser>
          <c:idx val="5"/>
          <c:order val="5"/>
          <c:tx>
            <c:strRef>
              <c:f>Résultats_sommaires!$A$44</c:f>
              <c:strCache>
                <c:ptCount val="1"/>
                <c:pt idx="0">
                  <c:v>CHANVRE - SEIGLE HYBRIDE D'AUTOMNE - SARRASIN - BLÉ DE PRINTEMPS PANIFIABLE - PRAIRIES (2 ANS)</c:v>
                </c:pt>
              </c:strCache>
            </c:strRef>
          </c:tx>
          <c:spPr>
            <a:ln w="28575" cap="rnd">
              <a:solidFill>
                <a:schemeClr val="accent6"/>
              </a:solidFill>
              <a:round/>
            </a:ln>
            <a:effectLst/>
          </c:spPr>
          <c:marker>
            <c:symbol val="none"/>
          </c:marker>
          <c:val>
            <c:numRef>
              <c:f>Résultats_sommaires!$B$44:$D$44</c:f>
              <c:numCache>
                <c:formatCode>#\ ##0\ "$"</c:formatCode>
                <c:ptCount val="3"/>
                <c:pt idx="0">
                  <c:v>84.411986666666664</c:v>
                </c:pt>
                <c:pt idx="1">
                  <c:v>90.245319999999992</c:v>
                </c:pt>
                <c:pt idx="2">
                  <c:v>96.078653333333321</c:v>
                </c:pt>
              </c:numCache>
            </c:numRef>
          </c:val>
          <c:smooth val="0"/>
          <c:extLst>
            <c:ext xmlns:c16="http://schemas.microsoft.com/office/drawing/2014/chart" uri="{C3380CC4-5D6E-409C-BE32-E72D297353CC}">
              <c16:uniqueId val="{00000000-A512-4B4D-A078-323ADF36252F}"/>
            </c:ext>
          </c:extLst>
        </c:ser>
        <c:dLbls>
          <c:showLegendKey val="0"/>
          <c:showVal val="0"/>
          <c:showCatName val="0"/>
          <c:showSerName val="0"/>
          <c:showPercent val="0"/>
          <c:showBubbleSize val="0"/>
        </c:dLbls>
        <c:smooth val="0"/>
        <c:axId val="638061896"/>
        <c:axId val="638062552"/>
      </c:lineChart>
      <c:catAx>
        <c:axId val="638061896"/>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38062552"/>
        <c:crosses val="autoZero"/>
        <c:auto val="1"/>
        <c:lblAlgn val="ctr"/>
        <c:lblOffset val="100"/>
        <c:noMultiLvlLbl val="0"/>
      </c:catAx>
      <c:valAx>
        <c:axId val="638062552"/>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380618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frais monétaires de votre ferme,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Résultats_sommaires!$N$15</c:f>
              <c:strCache>
                <c:ptCount val="1"/>
                <c:pt idx="0">
                  <c:v>CHANVRE - BLÉ D'AUTOMNE PANIFIABLE - SARRASIN - BLÉ DE PRINTEMPS PANIFIABLE - PRAIRIES (2 ANS)</c:v>
                </c:pt>
              </c:strCache>
            </c:strRef>
          </c:tx>
          <c:spPr>
            <a:ln w="28575" cap="rnd">
              <a:solidFill>
                <a:schemeClr val="accent1"/>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Résultats_sommaires!$O$15:$Q$15</c:f>
              <c:numCache>
                <c:formatCode>#\ ##0\ "$"</c:formatCode>
                <c:ptCount val="3"/>
                <c:pt idx="0">
                  <c:v>679.07052149999993</c:v>
                </c:pt>
                <c:pt idx="1">
                  <c:v>684.9038548333333</c:v>
                </c:pt>
                <c:pt idx="2">
                  <c:v>690.73718816666667</c:v>
                </c:pt>
              </c:numCache>
            </c:numRef>
          </c:val>
          <c:smooth val="0"/>
          <c:extLst>
            <c:ext xmlns:c16="http://schemas.microsoft.com/office/drawing/2014/chart" uri="{C3380CC4-5D6E-409C-BE32-E72D297353CC}">
              <c16:uniqueId val="{00000000-C3A8-4D9D-8369-35A05A325E69}"/>
            </c:ext>
          </c:extLst>
        </c:ser>
        <c:ser>
          <c:idx val="1"/>
          <c:order val="1"/>
          <c:tx>
            <c:strRef>
              <c:f>Résultats_sommaires!$N$16</c:f>
              <c:strCache>
                <c:ptCount val="1"/>
                <c:pt idx="0">
                  <c:v>CHANVRE - BLÉ DE PRINTEMPS PANIFIABLE - SARRASIN - BLÉ DE PRINTEMPS PANIFIABLE - PRAIRIES (2 ANS)</c:v>
                </c:pt>
              </c:strCache>
            </c:strRef>
          </c:tx>
          <c:spPr>
            <a:ln w="28575" cap="rnd">
              <a:solidFill>
                <a:schemeClr val="accent2"/>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Résultats_sommaires!$O$16:$Q$16</c:f>
              <c:numCache>
                <c:formatCode>#\ ##0\ "$"</c:formatCode>
                <c:ptCount val="3"/>
                <c:pt idx="0">
                  <c:v>609.88855333333322</c:v>
                </c:pt>
                <c:pt idx="1">
                  <c:v>615.72188666666659</c:v>
                </c:pt>
                <c:pt idx="2">
                  <c:v>621.55521999999985</c:v>
                </c:pt>
              </c:numCache>
            </c:numRef>
          </c:val>
          <c:smooth val="0"/>
          <c:extLst>
            <c:ext xmlns:c16="http://schemas.microsoft.com/office/drawing/2014/chart" uri="{C3380CC4-5D6E-409C-BE32-E72D297353CC}">
              <c16:uniqueId val="{00000001-C3A8-4D9D-8369-35A05A325E69}"/>
            </c:ext>
          </c:extLst>
        </c:ser>
        <c:ser>
          <c:idx val="2"/>
          <c:order val="2"/>
          <c:tx>
            <c:strRef>
              <c:f>Résultats_sommaires!$N$17</c:f>
              <c:strCache>
                <c:ptCount val="1"/>
                <c:pt idx="0">
                  <c:v>CHANVRE - ORGE - SARRASIN - BLÉ DE PRINTEMPS PANIFIABLE - PRAIRIES (2 ANS)</c:v>
                </c:pt>
              </c:strCache>
            </c:strRef>
          </c:tx>
          <c:spPr>
            <a:ln w="28575" cap="rnd">
              <a:solidFill>
                <a:schemeClr val="accent3"/>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Résultats_sommaires!$O$17:$Q$17</c:f>
              <c:numCache>
                <c:formatCode>#\ ##0\ "$"</c:formatCode>
                <c:ptCount val="3"/>
                <c:pt idx="0">
                  <c:v>583.48928666666677</c:v>
                </c:pt>
                <c:pt idx="1">
                  <c:v>589.32262000000003</c:v>
                </c:pt>
                <c:pt idx="2">
                  <c:v>595.1559533333334</c:v>
                </c:pt>
              </c:numCache>
            </c:numRef>
          </c:val>
          <c:smooth val="0"/>
          <c:extLst>
            <c:ext xmlns:c16="http://schemas.microsoft.com/office/drawing/2014/chart" uri="{C3380CC4-5D6E-409C-BE32-E72D297353CC}">
              <c16:uniqueId val="{00000002-C3A8-4D9D-8369-35A05A325E69}"/>
            </c:ext>
          </c:extLst>
        </c:ser>
        <c:ser>
          <c:idx val="3"/>
          <c:order val="3"/>
          <c:tx>
            <c:strRef>
              <c:f>Résultats_sommaires!$N$18</c:f>
              <c:strCache>
                <c:ptCount val="1"/>
                <c:pt idx="0">
                  <c:v>CHANVRE - AVOINE - SARRASIN - BLÉ DE PRINTEMPS PANIFIABLE - PRAIRIES (2 ANS)</c:v>
                </c:pt>
              </c:strCache>
            </c:strRef>
          </c:tx>
          <c:spPr>
            <a:ln w="28575" cap="rnd">
              <a:solidFill>
                <a:schemeClr val="accent4"/>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Résultats_sommaires!$O$18:$Q$18</c:f>
              <c:numCache>
                <c:formatCode>#\ ##0\ "$"</c:formatCode>
                <c:ptCount val="3"/>
                <c:pt idx="0">
                  <c:v>504.40967000000001</c:v>
                </c:pt>
                <c:pt idx="1">
                  <c:v>510.24300333333332</c:v>
                </c:pt>
                <c:pt idx="2">
                  <c:v>516.07633666666663</c:v>
                </c:pt>
              </c:numCache>
            </c:numRef>
          </c:val>
          <c:smooth val="0"/>
          <c:extLst>
            <c:ext xmlns:c16="http://schemas.microsoft.com/office/drawing/2014/chart" uri="{C3380CC4-5D6E-409C-BE32-E72D297353CC}">
              <c16:uniqueId val="{00000003-C3A8-4D9D-8369-35A05A325E69}"/>
            </c:ext>
          </c:extLst>
        </c:ser>
        <c:ser>
          <c:idx val="4"/>
          <c:order val="4"/>
          <c:tx>
            <c:strRef>
              <c:f>Résultats_sommaires!$N$19</c:f>
              <c:strCache>
                <c:ptCount val="1"/>
                <c:pt idx="0">
                  <c:v>CHANVRE - SEIGLE - SARRASIN - BLÉ DE PRINTEMPS PANIFIABLE - PRAIRIES (2 ANS)</c:v>
                </c:pt>
              </c:strCache>
            </c:strRef>
          </c:tx>
          <c:spPr>
            <a:ln w="28575" cap="rnd">
              <a:solidFill>
                <a:schemeClr val="accent5"/>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Résultats_sommaires!$O$19:$Q$19</c:f>
              <c:numCache>
                <c:formatCode>#\ ##0\ "$"</c:formatCode>
                <c:ptCount val="3"/>
                <c:pt idx="0">
                  <c:v>568.70916999999997</c:v>
                </c:pt>
                <c:pt idx="1">
                  <c:v>574.54250333333323</c:v>
                </c:pt>
                <c:pt idx="2">
                  <c:v>580.3758366666666</c:v>
                </c:pt>
              </c:numCache>
            </c:numRef>
          </c:val>
          <c:smooth val="0"/>
          <c:extLst>
            <c:ext xmlns:c16="http://schemas.microsoft.com/office/drawing/2014/chart" uri="{C3380CC4-5D6E-409C-BE32-E72D297353CC}">
              <c16:uniqueId val="{00000004-C3A8-4D9D-8369-35A05A325E69}"/>
            </c:ext>
          </c:extLst>
        </c:ser>
        <c:ser>
          <c:idx val="5"/>
          <c:order val="5"/>
          <c:tx>
            <c:strRef>
              <c:f>Résultats_sommaires!$N$20</c:f>
              <c:strCache>
                <c:ptCount val="1"/>
                <c:pt idx="0">
                  <c:v>CHANVRE - SEIGLE HYBRIDE D'AUTOMNE - SARRASIN - BLÉ DE PRINTEMPS PANIFIABLE - PRAIRIES (2 ANS)</c:v>
                </c:pt>
              </c:strCache>
            </c:strRef>
          </c:tx>
          <c:spPr>
            <a:ln w="28575" cap="rnd">
              <a:solidFill>
                <a:schemeClr val="accent6"/>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Résultats_sommaires!$O$20:$Q$20</c:f>
              <c:numCache>
                <c:formatCode>#\ ##0\ "$"</c:formatCode>
                <c:ptCount val="3"/>
                <c:pt idx="0">
                  <c:v>726.28198666666651</c:v>
                </c:pt>
                <c:pt idx="1">
                  <c:v>732.11531999999988</c:v>
                </c:pt>
                <c:pt idx="2">
                  <c:v>737.94865333333325</c:v>
                </c:pt>
              </c:numCache>
            </c:numRef>
          </c:val>
          <c:smooth val="0"/>
          <c:extLst>
            <c:ext xmlns:c16="http://schemas.microsoft.com/office/drawing/2014/chart" uri="{C3380CC4-5D6E-409C-BE32-E72D297353CC}">
              <c16:uniqueId val="{00000000-D211-459F-934F-A78639E7DA8E}"/>
            </c:ext>
          </c:extLst>
        </c:ser>
        <c:dLbls>
          <c:showLegendKey val="0"/>
          <c:showVal val="0"/>
          <c:showCatName val="0"/>
          <c:showSerName val="0"/>
          <c:showPercent val="0"/>
          <c:showBubbleSize val="0"/>
        </c:dLbls>
        <c:smooth val="0"/>
        <c:axId val="594389632"/>
        <c:axId val="601936472"/>
      </c:lineChart>
      <c:catAx>
        <c:axId val="5943896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01936472"/>
        <c:crosses val="autoZero"/>
        <c:auto val="1"/>
        <c:lblAlgn val="ctr"/>
        <c:lblOffset val="100"/>
        <c:noMultiLvlLbl val="0"/>
      </c:catAx>
      <c:valAx>
        <c:axId val="601936472"/>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5943896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amortissement et rémunération du travail de votre ferme,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Résultats_sommaires!$N$39</c:f>
              <c:strCache>
                <c:ptCount val="1"/>
                <c:pt idx="0">
                  <c:v>CHANVRE - BLÉ D'AUTOMNE PANIFIABLE - SARRASIN - BLÉ DE PRINTEMPS PANIFIABLE - PRAIRIES (2 ANS)</c:v>
                </c:pt>
              </c:strCache>
            </c:strRef>
          </c:tx>
          <c:spPr>
            <a:ln w="28575" cap="rnd">
              <a:solidFill>
                <a:schemeClr val="accent1"/>
              </a:solidFill>
              <a:round/>
            </a:ln>
            <a:effectLst/>
          </c:spPr>
          <c:marker>
            <c:symbol val="none"/>
          </c:marker>
          <c:cat>
            <c:strRef>
              <c:f>Résultats_sommaires!$O$26:$Q$26</c:f>
              <c:strCache>
                <c:ptCount val="3"/>
                <c:pt idx="0">
                  <c:v>Moyenne annuelle
Cycle 1</c:v>
                </c:pt>
                <c:pt idx="1">
                  <c:v>Moyenne annuelle
Cycle 2</c:v>
                </c:pt>
                <c:pt idx="2">
                  <c:v>Moyenne annuelle
Cycle 3</c:v>
                </c:pt>
              </c:strCache>
            </c:strRef>
          </c:cat>
          <c:val>
            <c:numRef>
              <c:f>Résultats_sommaires!$O$39:$Q$39</c:f>
              <c:numCache>
                <c:formatCode>#\ ##0\ "$"</c:formatCode>
                <c:ptCount val="3"/>
                <c:pt idx="0">
                  <c:v>31.660521499999959</c:v>
                </c:pt>
                <c:pt idx="1">
                  <c:v>37.493854833333295</c:v>
                </c:pt>
                <c:pt idx="2">
                  <c:v>43.327188166666623</c:v>
                </c:pt>
              </c:numCache>
            </c:numRef>
          </c:val>
          <c:smooth val="0"/>
          <c:extLst>
            <c:ext xmlns:c16="http://schemas.microsoft.com/office/drawing/2014/chart" uri="{C3380CC4-5D6E-409C-BE32-E72D297353CC}">
              <c16:uniqueId val="{00000000-B73C-4425-9786-1A8AA96C20A1}"/>
            </c:ext>
          </c:extLst>
        </c:ser>
        <c:ser>
          <c:idx val="1"/>
          <c:order val="1"/>
          <c:tx>
            <c:strRef>
              <c:f>Résultats_sommaires!$N$40</c:f>
              <c:strCache>
                <c:ptCount val="1"/>
                <c:pt idx="0">
                  <c:v>CHANVRE - BLÉ DE PRINTEMPS PANIFIABLE - SARRASIN - BLÉ DE PRINTEMPS PANIFIABLE - PRAIRIES (2 ANS)</c:v>
                </c:pt>
              </c:strCache>
            </c:strRef>
          </c:tx>
          <c:spPr>
            <a:ln w="28575" cap="rnd">
              <a:solidFill>
                <a:schemeClr val="accent2"/>
              </a:solidFill>
              <a:round/>
            </a:ln>
            <a:effectLst/>
          </c:spPr>
          <c:marker>
            <c:symbol val="none"/>
          </c:marker>
          <c:cat>
            <c:strRef>
              <c:f>Résultats_sommaires!$O$26:$Q$26</c:f>
              <c:strCache>
                <c:ptCount val="3"/>
                <c:pt idx="0">
                  <c:v>Moyenne annuelle
Cycle 1</c:v>
                </c:pt>
                <c:pt idx="1">
                  <c:v>Moyenne annuelle
Cycle 2</c:v>
                </c:pt>
                <c:pt idx="2">
                  <c:v>Moyenne annuelle
Cycle 3</c:v>
                </c:pt>
              </c:strCache>
            </c:strRef>
          </c:cat>
          <c:val>
            <c:numRef>
              <c:f>Résultats_sommaires!$O$40:$Q$40</c:f>
              <c:numCache>
                <c:formatCode>#\ ##0\ "$"</c:formatCode>
                <c:ptCount val="3"/>
                <c:pt idx="0">
                  <c:v>-37.52144666666667</c:v>
                </c:pt>
                <c:pt idx="1">
                  <c:v>-31.688113333333337</c:v>
                </c:pt>
                <c:pt idx="2">
                  <c:v>-25.854780000000005</c:v>
                </c:pt>
              </c:numCache>
            </c:numRef>
          </c:val>
          <c:smooth val="0"/>
          <c:extLst>
            <c:ext xmlns:c16="http://schemas.microsoft.com/office/drawing/2014/chart" uri="{C3380CC4-5D6E-409C-BE32-E72D297353CC}">
              <c16:uniqueId val="{00000001-B73C-4425-9786-1A8AA96C20A1}"/>
            </c:ext>
          </c:extLst>
        </c:ser>
        <c:ser>
          <c:idx val="2"/>
          <c:order val="2"/>
          <c:tx>
            <c:strRef>
              <c:f>Résultats_sommaires!$N$41</c:f>
              <c:strCache>
                <c:ptCount val="1"/>
                <c:pt idx="0">
                  <c:v>CHANVRE - ORGE - SARRASIN - BLÉ DE PRINTEMPS PANIFIABLE - PRAIRIES (2 ANS)</c:v>
                </c:pt>
              </c:strCache>
            </c:strRef>
          </c:tx>
          <c:spPr>
            <a:ln w="28575" cap="rnd">
              <a:solidFill>
                <a:schemeClr val="accent3"/>
              </a:solidFill>
              <a:round/>
            </a:ln>
            <a:effectLst/>
          </c:spPr>
          <c:marker>
            <c:symbol val="none"/>
          </c:marker>
          <c:cat>
            <c:strRef>
              <c:f>Résultats_sommaires!$O$26:$Q$26</c:f>
              <c:strCache>
                <c:ptCount val="3"/>
                <c:pt idx="0">
                  <c:v>Moyenne annuelle
Cycle 1</c:v>
                </c:pt>
                <c:pt idx="1">
                  <c:v>Moyenne annuelle
Cycle 2</c:v>
                </c:pt>
                <c:pt idx="2">
                  <c:v>Moyenne annuelle
Cycle 3</c:v>
                </c:pt>
              </c:strCache>
            </c:strRef>
          </c:cat>
          <c:val>
            <c:numRef>
              <c:f>Résultats_sommaires!$O$41:$Q$41</c:f>
              <c:numCache>
                <c:formatCode>#\ ##0\ "$"</c:formatCode>
                <c:ptCount val="3"/>
                <c:pt idx="0">
                  <c:v>-64.329046666666628</c:v>
                </c:pt>
                <c:pt idx="1">
                  <c:v>-58.495713333333299</c:v>
                </c:pt>
                <c:pt idx="2">
                  <c:v>-52.662379999999963</c:v>
                </c:pt>
              </c:numCache>
            </c:numRef>
          </c:val>
          <c:smooth val="0"/>
          <c:extLst>
            <c:ext xmlns:c16="http://schemas.microsoft.com/office/drawing/2014/chart" uri="{C3380CC4-5D6E-409C-BE32-E72D297353CC}">
              <c16:uniqueId val="{00000002-B73C-4425-9786-1A8AA96C20A1}"/>
            </c:ext>
          </c:extLst>
        </c:ser>
        <c:ser>
          <c:idx val="3"/>
          <c:order val="3"/>
          <c:tx>
            <c:strRef>
              <c:f>Résultats_sommaires!$N$42</c:f>
              <c:strCache>
                <c:ptCount val="1"/>
                <c:pt idx="0">
                  <c:v>CHANVRE - AVOINE - SARRASIN - BLÉ DE PRINTEMPS PANIFIABLE - PRAIRIES (2 ANS)</c:v>
                </c:pt>
              </c:strCache>
            </c:strRef>
          </c:tx>
          <c:spPr>
            <a:ln w="28575" cap="rnd">
              <a:solidFill>
                <a:schemeClr val="accent4"/>
              </a:solidFill>
              <a:round/>
            </a:ln>
            <a:effectLst/>
          </c:spPr>
          <c:marker>
            <c:symbol val="none"/>
          </c:marker>
          <c:cat>
            <c:strRef>
              <c:f>Résultats_sommaires!$O$26:$Q$26</c:f>
              <c:strCache>
                <c:ptCount val="3"/>
                <c:pt idx="0">
                  <c:v>Moyenne annuelle
Cycle 1</c:v>
                </c:pt>
                <c:pt idx="1">
                  <c:v>Moyenne annuelle
Cycle 2</c:v>
                </c:pt>
                <c:pt idx="2">
                  <c:v>Moyenne annuelle
Cycle 3</c:v>
                </c:pt>
              </c:strCache>
            </c:strRef>
          </c:cat>
          <c:val>
            <c:numRef>
              <c:f>Résultats_sommaires!$O$42:$Q$42</c:f>
              <c:numCache>
                <c:formatCode>#\ ##0\ "$"</c:formatCode>
                <c:ptCount val="3"/>
                <c:pt idx="0">
                  <c:v>-127.12532999999996</c:v>
                </c:pt>
                <c:pt idx="1">
                  <c:v>-121.29199666666663</c:v>
                </c:pt>
                <c:pt idx="2">
                  <c:v>-115.45866333333329</c:v>
                </c:pt>
              </c:numCache>
            </c:numRef>
          </c:val>
          <c:smooth val="0"/>
          <c:extLst>
            <c:ext xmlns:c16="http://schemas.microsoft.com/office/drawing/2014/chart" uri="{C3380CC4-5D6E-409C-BE32-E72D297353CC}">
              <c16:uniqueId val="{00000003-B73C-4425-9786-1A8AA96C20A1}"/>
            </c:ext>
          </c:extLst>
        </c:ser>
        <c:ser>
          <c:idx val="4"/>
          <c:order val="4"/>
          <c:tx>
            <c:strRef>
              <c:f>Résultats_sommaires!$N$43</c:f>
              <c:strCache>
                <c:ptCount val="1"/>
                <c:pt idx="0">
                  <c:v>CHANVRE - SEIGLE - SARRASIN - BLÉ DE PRINTEMPS PANIFIABLE - PRAIRIES (2 ANS)</c:v>
                </c:pt>
              </c:strCache>
            </c:strRef>
          </c:tx>
          <c:spPr>
            <a:ln w="28575" cap="rnd">
              <a:solidFill>
                <a:schemeClr val="accent5"/>
              </a:solidFill>
              <a:round/>
            </a:ln>
            <a:effectLst/>
          </c:spPr>
          <c:marker>
            <c:symbol val="none"/>
          </c:marker>
          <c:cat>
            <c:strRef>
              <c:f>Résultats_sommaires!$O$26:$Q$26</c:f>
              <c:strCache>
                <c:ptCount val="3"/>
                <c:pt idx="0">
                  <c:v>Moyenne annuelle
Cycle 1</c:v>
                </c:pt>
                <c:pt idx="1">
                  <c:v>Moyenne annuelle
Cycle 2</c:v>
                </c:pt>
                <c:pt idx="2">
                  <c:v>Moyenne annuelle
Cycle 3</c:v>
                </c:pt>
              </c:strCache>
            </c:strRef>
          </c:cat>
          <c:val>
            <c:numRef>
              <c:f>Résultats_sommaires!$O$43:$Q$43</c:f>
              <c:numCache>
                <c:formatCode>#\ ##0\ "$"</c:formatCode>
                <c:ptCount val="3"/>
                <c:pt idx="0">
                  <c:v>-73.160830000000033</c:v>
                </c:pt>
                <c:pt idx="1">
                  <c:v>-67.327496666666704</c:v>
                </c:pt>
                <c:pt idx="2">
                  <c:v>-61.494163333333368</c:v>
                </c:pt>
              </c:numCache>
            </c:numRef>
          </c:val>
          <c:smooth val="0"/>
          <c:extLst>
            <c:ext xmlns:c16="http://schemas.microsoft.com/office/drawing/2014/chart" uri="{C3380CC4-5D6E-409C-BE32-E72D297353CC}">
              <c16:uniqueId val="{00000004-B73C-4425-9786-1A8AA96C20A1}"/>
            </c:ext>
          </c:extLst>
        </c:ser>
        <c:ser>
          <c:idx val="5"/>
          <c:order val="5"/>
          <c:tx>
            <c:strRef>
              <c:f>Résultats_sommaires!$N$44</c:f>
              <c:strCache>
                <c:ptCount val="1"/>
                <c:pt idx="0">
                  <c:v>CHANVRE - SEIGLE HYBRIDE D'AUTOMNE - SARRASIN - BLÉ DE PRINTEMPS PANIFIABLE - PRAIRIES (2 ANS)</c:v>
                </c:pt>
              </c:strCache>
            </c:strRef>
          </c:tx>
          <c:spPr>
            <a:ln w="28575" cap="rnd">
              <a:solidFill>
                <a:schemeClr val="accent6"/>
              </a:solidFill>
              <a:round/>
            </a:ln>
            <a:effectLst/>
          </c:spPr>
          <c:marker>
            <c:symbol val="none"/>
          </c:marker>
          <c:cat>
            <c:strRef>
              <c:f>Résultats_sommaires!$O$26:$Q$26</c:f>
              <c:strCache>
                <c:ptCount val="3"/>
                <c:pt idx="0">
                  <c:v>Moyenne annuelle
Cycle 1</c:v>
                </c:pt>
                <c:pt idx="1">
                  <c:v>Moyenne annuelle
Cycle 2</c:v>
                </c:pt>
                <c:pt idx="2">
                  <c:v>Moyenne annuelle
Cycle 3</c:v>
                </c:pt>
              </c:strCache>
            </c:strRef>
          </c:cat>
          <c:val>
            <c:numRef>
              <c:f>Résultats_sommaires!$O$44:$Q$44</c:f>
              <c:numCache>
                <c:formatCode>#\ ##0\ "$"</c:formatCode>
                <c:ptCount val="3"/>
                <c:pt idx="0">
                  <c:v>84.411986666666664</c:v>
                </c:pt>
                <c:pt idx="1">
                  <c:v>90.245319999999992</c:v>
                </c:pt>
                <c:pt idx="2">
                  <c:v>96.078653333333321</c:v>
                </c:pt>
              </c:numCache>
            </c:numRef>
          </c:val>
          <c:smooth val="0"/>
          <c:extLst>
            <c:ext xmlns:c16="http://schemas.microsoft.com/office/drawing/2014/chart" uri="{C3380CC4-5D6E-409C-BE32-E72D297353CC}">
              <c16:uniqueId val="{00000000-0597-40B5-B142-E3F6B204C564}"/>
            </c:ext>
          </c:extLst>
        </c:ser>
        <c:dLbls>
          <c:showLegendKey val="0"/>
          <c:showVal val="0"/>
          <c:showCatName val="0"/>
          <c:showSerName val="0"/>
          <c:showPercent val="0"/>
          <c:showBubbleSize val="0"/>
        </c:dLbls>
        <c:smooth val="0"/>
        <c:axId val="818368432"/>
        <c:axId val="818369088"/>
      </c:lineChart>
      <c:catAx>
        <c:axId val="818368432"/>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818369088"/>
        <c:crosses val="autoZero"/>
        <c:auto val="1"/>
        <c:lblAlgn val="ctr"/>
        <c:lblOffset val="100"/>
        <c:noMultiLvlLbl val="0"/>
      </c:catAx>
      <c:valAx>
        <c:axId val="818369088"/>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8183684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4</xdr:col>
      <xdr:colOff>783689</xdr:colOff>
      <xdr:row>0</xdr:row>
      <xdr:rowOff>0</xdr:rowOff>
    </xdr:from>
    <xdr:to>
      <xdr:col>13</xdr:col>
      <xdr:colOff>952499</xdr:colOff>
      <xdr:row>24</xdr:row>
      <xdr:rowOff>73268</xdr:rowOff>
    </xdr:to>
    <xdr:graphicFrame macro="">
      <xdr:nvGraphicFramePr>
        <xdr:cNvPr id="2" name="Graphique 1">
          <a:extLst>
            <a:ext uri="{FF2B5EF4-FFF2-40B4-BE49-F238E27FC236}">
              <a16:creationId xmlns:a16="http://schemas.microsoft.com/office/drawing/2014/main" id="{91D5052A-8796-F013-9CC1-C01A16147AC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0</xdr:colOff>
      <xdr:row>24</xdr:row>
      <xdr:rowOff>0</xdr:rowOff>
    </xdr:from>
    <xdr:to>
      <xdr:col>12</xdr:col>
      <xdr:colOff>0</xdr:colOff>
      <xdr:row>44</xdr:row>
      <xdr:rowOff>0</xdr:rowOff>
    </xdr:to>
    <xdr:graphicFrame macro="">
      <xdr:nvGraphicFramePr>
        <xdr:cNvPr id="3" name="Graphique 2">
          <a:extLst>
            <a:ext uri="{FF2B5EF4-FFF2-40B4-BE49-F238E27FC236}">
              <a16:creationId xmlns:a16="http://schemas.microsoft.com/office/drawing/2014/main" id="{473FDA42-4677-0981-71F7-2BD47BE2CEF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18</xdr:col>
      <xdr:colOff>0</xdr:colOff>
      <xdr:row>0</xdr:row>
      <xdr:rowOff>0</xdr:rowOff>
    </xdr:from>
    <xdr:to>
      <xdr:col>26</xdr:col>
      <xdr:colOff>0</xdr:colOff>
      <xdr:row>23</xdr:row>
      <xdr:rowOff>0</xdr:rowOff>
    </xdr:to>
    <xdr:graphicFrame macro="">
      <xdr:nvGraphicFramePr>
        <xdr:cNvPr id="4" name="Graphique 3">
          <a:extLst>
            <a:ext uri="{FF2B5EF4-FFF2-40B4-BE49-F238E27FC236}">
              <a16:creationId xmlns:a16="http://schemas.microsoft.com/office/drawing/2014/main" id="{7FF0A943-550D-A3DB-ACB9-357ADD647C3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18</xdr:col>
      <xdr:colOff>0</xdr:colOff>
      <xdr:row>24</xdr:row>
      <xdr:rowOff>0</xdr:rowOff>
    </xdr:from>
    <xdr:to>
      <xdr:col>25</xdr:col>
      <xdr:colOff>0</xdr:colOff>
      <xdr:row>44</xdr:row>
      <xdr:rowOff>0</xdr:rowOff>
    </xdr:to>
    <xdr:graphicFrame macro="">
      <xdr:nvGraphicFramePr>
        <xdr:cNvPr id="5" name="Graphique 4">
          <a:extLst>
            <a:ext uri="{FF2B5EF4-FFF2-40B4-BE49-F238E27FC236}">
              <a16:creationId xmlns:a16="http://schemas.microsoft.com/office/drawing/2014/main" id="{DD1C2CD8-7060-E3DC-2FCE-67E3192B9C8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Philippe Leriche" id="{EFDF8CAF-7C33-4DD0-8021-D88F09F17F62}" userId="Philippe Leriche" providerId="None"/>
</personList>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59" dT="2023-01-13T21:08:03.18" personId="{EFDF8CAF-7C33-4DD0-8021-D88F09F17F62}" id="{6347E3B7-C911-408F-BB70-4DF5EACD4098}">
    <text>Les analyses sont effectuées sur trois cycles de rotation. Un cycle de rotation varie entre 5 à 6 ans en fonction du nombre de cultures. Par exemple une rotation Blé de printemps-Avoine-Blé de printemps-Prairies (2 ans) représente un cycle de 5 ans (an 1 = Blé de printemps, an 2 = Avoine, an 3 = Blé de printemps, an 4 et 5 = Prairies) tandis qu’une rotation Chanvre-Blé de printemps-Sarrasin-Blé de printemps-Prairies (2 ans) représente un cycle de 6 ans (an 1 = Chanvre, an 2 = Blé de printemps, an 3 = Sarrasin, an 4 = Blé de printemps, an 5 et 6 = Prairies.</text>
  </threadedComment>
</ThreadedComments>
</file>

<file path=xl/threadedComments/threadedComment2.xml><?xml version="1.0" encoding="utf-8"?>
<ThreadedComments xmlns="http://schemas.microsoft.com/office/spreadsheetml/2018/threadedcomments" xmlns:x="http://schemas.openxmlformats.org/spreadsheetml/2006/main">
  <threadedComment ref="B7" dT="2023-01-13T21:22:52.28" personId="{EFDF8CAF-7C33-4DD0-8021-D88F09F17F62}" id="{BFC3126A-0A1C-40B7-800C-99E93DB44FF4}">
    <text>Le CECPA ne distingue pas le rendement du blé d'automne et du blé de printemps. Des producteurs agricoles et agronomes nous ont informés que le blé d'automne possède un rendement entre 25 % et 50 % plus élevé que le blé de printemps. Nous retenons ici un rendement supérieur correspondant à 25 % de plus que le rendement du blé de printemps. Cette information peut être modifiée pour les exploitations agricoles en indiquant le rendement des productions elles-mêmes dans l'onglet "Saisie" sous la section "Vos rendements".</text>
  </threadedComment>
  <threadedComment ref="B10" dT="2023-01-13T21:23:13.04" personId="{EFDF8CAF-7C33-4DD0-8021-D88F09F17F62}" id="{6CCA6EEA-A177-474F-9D22-D11E0AECCFCB}">
    <text>Des échanges avec agronomes et producteurs agricoles nous amènent à modifier le rendement du seigle hybride à 1 T/ha plus élevé que le rendement du blé d'automne.</text>
  </threadedComment>
</ThreadedComments>
</file>

<file path=xl/threadedComments/threadedComment3.xml><?xml version="1.0" encoding="utf-8"?>
<ThreadedComments xmlns="http://schemas.microsoft.com/office/spreadsheetml/2018/threadedcomments" xmlns:x="http://schemas.openxmlformats.org/spreadsheetml/2006/main">
  <threadedComment ref="B11" dT="2023-01-13T21:24:14.28" personId="{EFDF8CAF-7C33-4DD0-8021-D88F09F17F62}" id="{61912261-0FBA-4DC4-AF26-BB8537F3CD1C}">
    <text>Une étude technico-économique réalisée par le CEPCA relève un prix pour le foin de commerce de 263 $/t en régie conventionnelle. L'étude soulève aussi un prix nettement inférieur pour les régions périphériques. Le prix retenu provient d'un échange avec un producteur agricole qui soulignait des prix entre 50 et 65 $/balles pour des balles de 275 kg/balles. Cette information peut être modifiée pour les exploitations agricoles en indiquant le rendement des productions elles-mêmes dans l'onglet "Saisie" sous la section "Vos prix".</text>
  </threadedComment>
</ThreadedComments>
</file>

<file path=xl/threadedComments/threadedComment4.xml><?xml version="1.0" encoding="utf-8"?>
<ThreadedComments xmlns="http://schemas.microsoft.com/office/spreadsheetml/2018/threadedcomments" xmlns:x="http://schemas.openxmlformats.org/spreadsheetml/2006/main">
  <threadedComment ref="B3" dT="2023-01-13T22:02:59.19" personId="{EFDF8CAF-7C33-4DD0-8021-D88F09F17F62}" id="{871BC8EE-9232-4536-8823-16AE42A93405}">
    <text>Les analyses sont effectuées sur trois cycles de rotation. Un cycle de rotation varie entre 5 à 6 ans en fonction du nombre de cultures. Par exemple une rotation Blé de printemps-Avoine-Blé de printemps-Prairies (2 ans) représente un cycle de 5 ans (an 1 = Blé de printemps, an 2 = Avoine, an 3 = Blé de printemps, an 4 et 5 = Prairies) tandis qu’une rotation Chanvre-Blé de printemps-Sarrasin-Blé de printemps-Prairies (2 ans) représente un cycle de 6 ans (an 1 = Chanvre, an 2 = Blé de printemps, an 3 = Sarrasin, an 4 = Blé de printemps, an 5 et 6 = Prairies.</text>
  </threadedComment>
  <threadedComment ref="W3" dT="2023-01-13T22:05:43.37" personId="{EFDF8CAF-7C33-4DD0-8021-D88F09F17F62}" id="{1DBFD7F3-101F-4BC7-9B48-F228DE5DC650}">
    <text>Les analyses sont effectuées sur trois cycles de rotation. Un cycle de rotation varie entre 5 à 6 ans en fonction du nombre de cultures. Par exemple une rotation Blé de printemps-Avoine-Blé de printemps-Prairies (2 ans) représente un cycle de 5 ans (an 1 = Blé de printemps, an 2 = Avoine, an 3 = Blé de printemps, an 4 et 5 = Prairies) tandis qu’une rotation Chanvre-Blé de printemps-Sarrasin-Blé de printemps-Prairies (2 ans) représente un cycle de 6 ans (an 1 = Chanvre, an 2 = Blé de printemps, an 3 = Sarrasin, an 4 = Blé de printemps, an 5 et 6 = Prairies.</text>
  </threadedComment>
</ThreadedComments>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lenethiboutot@concertationgrainsquebec.ca"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6.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3.bin"/><Relationship Id="rId4" Type="http://schemas.microsoft.com/office/2017/10/relationships/threadedComment" Target="../threadedComments/threadedComment4.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B2044-8F91-49E0-A23A-08C257DA2917}">
  <sheetPr>
    <tabColor theme="5" tint="0.79998168889431442"/>
  </sheetPr>
  <dimension ref="A1:H23"/>
  <sheetViews>
    <sheetView zoomScaleNormal="100" workbookViewId="0"/>
  </sheetViews>
  <sheetFormatPr baseColWidth="10" defaultColWidth="10.85546875" defaultRowHeight="15" x14ac:dyDescent="0.25"/>
  <cols>
    <col min="1" max="1" width="17.85546875" customWidth="1"/>
  </cols>
  <sheetData>
    <row r="1" spans="1:8" x14ac:dyDescent="0.25">
      <c r="A1" s="8" t="s">
        <v>29</v>
      </c>
      <c r="B1" s="9"/>
      <c r="C1" s="9"/>
      <c r="D1" s="9"/>
      <c r="E1" s="9"/>
      <c r="F1" s="9"/>
      <c r="G1" s="9"/>
      <c r="H1" s="9"/>
    </row>
    <row r="2" spans="1:8" ht="27.75" customHeight="1" x14ac:dyDescent="0.25">
      <c r="A2" s="77" t="s">
        <v>115</v>
      </c>
      <c r="B2" s="77"/>
      <c r="C2" s="77"/>
      <c r="D2" s="77"/>
      <c r="E2" s="77"/>
      <c r="F2" s="77"/>
      <c r="G2" s="77"/>
      <c r="H2" s="77"/>
    </row>
    <row r="4" spans="1:8" x14ac:dyDescent="0.25">
      <c r="A4" s="8" t="s">
        <v>30</v>
      </c>
      <c r="B4" s="9"/>
      <c r="C4" s="9"/>
      <c r="D4" s="9"/>
      <c r="E4" s="9"/>
      <c r="F4" s="9"/>
      <c r="G4" s="9"/>
      <c r="H4" s="9"/>
    </row>
    <row r="5" spans="1:8" ht="198.75" customHeight="1" x14ac:dyDescent="0.25">
      <c r="A5" s="10" t="s">
        <v>31</v>
      </c>
      <c r="B5" s="77" t="s">
        <v>124</v>
      </c>
      <c r="C5" s="77"/>
      <c r="D5" s="77"/>
      <c r="E5" s="77"/>
      <c r="F5" s="77"/>
      <c r="G5" s="77"/>
      <c r="H5" s="77"/>
    </row>
    <row r="6" spans="1:8" ht="89.45" customHeight="1" x14ac:dyDescent="0.25">
      <c r="A6" s="11" t="s">
        <v>191</v>
      </c>
      <c r="B6" s="77" t="s">
        <v>85</v>
      </c>
      <c r="C6" s="77"/>
      <c r="D6" s="77"/>
      <c r="E6" s="77"/>
      <c r="F6" s="77"/>
      <c r="G6" s="77"/>
      <c r="H6" s="77"/>
    </row>
    <row r="7" spans="1:8" ht="30" hidden="1" x14ac:dyDescent="0.25">
      <c r="A7" s="11" t="s">
        <v>186</v>
      </c>
      <c r="B7" s="78" t="s">
        <v>187</v>
      </c>
      <c r="C7" s="78"/>
      <c r="D7" s="78"/>
      <c r="E7" s="78"/>
      <c r="F7" s="78"/>
      <c r="G7" s="78"/>
      <c r="H7" s="78"/>
    </row>
    <row r="8" spans="1:8" ht="30" hidden="1" x14ac:dyDescent="0.25">
      <c r="A8" s="11" t="s">
        <v>99</v>
      </c>
      <c r="B8" s="78" t="s">
        <v>188</v>
      </c>
      <c r="C8" s="78"/>
      <c r="D8" s="78"/>
      <c r="E8" s="78"/>
      <c r="F8" s="78"/>
      <c r="G8" s="78"/>
      <c r="H8" s="78"/>
    </row>
    <row r="9" spans="1:8" ht="32.450000000000003" hidden="1" customHeight="1" x14ac:dyDescent="0.25">
      <c r="A9" s="11" t="s">
        <v>86</v>
      </c>
      <c r="B9" s="77" t="s">
        <v>89</v>
      </c>
      <c r="C9" s="77"/>
      <c r="D9" s="77"/>
      <c r="E9" s="77"/>
      <c r="F9" s="77"/>
      <c r="G9" s="77"/>
      <c r="H9" s="77"/>
    </row>
    <row r="10" spans="1:8" ht="32.450000000000003" hidden="1" customHeight="1" x14ac:dyDescent="0.25">
      <c r="A10" s="11" t="s">
        <v>87</v>
      </c>
      <c r="B10" s="77" t="s">
        <v>88</v>
      </c>
      <c r="C10" s="77"/>
      <c r="D10" s="77"/>
      <c r="E10" s="77"/>
      <c r="F10" s="77"/>
      <c r="G10" s="77"/>
      <c r="H10" s="77"/>
    </row>
    <row r="11" spans="1:8" ht="34.5" hidden="1" customHeight="1" x14ac:dyDescent="0.25">
      <c r="A11" s="11" t="s">
        <v>90</v>
      </c>
      <c r="B11" s="77" t="s">
        <v>91</v>
      </c>
      <c r="C11" s="77"/>
      <c r="D11" s="77"/>
      <c r="E11" s="77"/>
      <c r="F11" s="77"/>
      <c r="G11" s="77"/>
      <c r="H11" s="77"/>
    </row>
    <row r="12" spans="1:8" ht="44.1" customHeight="1" x14ac:dyDescent="0.25">
      <c r="A12" s="11" t="s">
        <v>160</v>
      </c>
      <c r="B12" s="77" t="s">
        <v>92</v>
      </c>
      <c r="C12" s="77"/>
      <c r="D12" s="77"/>
      <c r="E12" s="77"/>
      <c r="F12" s="77"/>
      <c r="G12" s="77"/>
      <c r="H12" s="77"/>
    </row>
    <row r="13" spans="1:8" ht="58.35" customHeight="1" x14ac:dyDescent="0.25">
      <c r="A13" s="11" t="s">
        <v>161</v>
      </c>
      <c r="B13" s="78" t="s">
        <v>189</v>
      </c>
      <c r="C13" s="78"/>
      <c r="D13" s="78"/>
      <c r="E13" s="78"/>
      <c r="F13" s="78"/>
      <c r="G13" s="78"/>
      <c r="H13" s="78"/>
    </row>
    <row r="15" spans="1:8" x14ac:dyDescent="0.25">
      <c r="A15" s="8" t="s">
        <v>32</v>
      </c>
      <c r="B15" s="9"/>
      <c r="C15" s="9"/>
      <c r="D15" s="9"/>
      <c r="E15" s="9"/>
      <c r="F15" s="9"/>
      <c r="G15" s="9"/>
      <c r="H15" s="9"/>
    </row>
    <row r="16" spans="1:8" ht="78" customHeight="1" x14ac:dyDescent="0.25">
      <c r="A16" s="77" t="s">
        <v>125</v>
      </c>
      <c r="B16" s="77"/>
      <c r="C16" s="77"/>
      <c r="D16" s="77"/>
      <c r="E16" s="77"/>
      <c r="F16" s="77"/>
      <c r="G16" s="77"/>
      <c r="H16" s="77"/>
    </row>
    <row r="18" spans="1:8" x14ac:dyDescent="0.25">
      <c r="A18" s="8" t="s">
        <v>33</v>
      </c>
      <c r="B18" s="9"/>
      <c r="C18" s="9"/>
      <c r="D18" s="9"/>
      <c r="E18" s="9"/>
      <c r="F18" s="9"/>
      <c r="G18" s="9"/>
      <c r="H18" s="9"/>
    </row>
    <row r="19" spans="1:8" x14ac:dyDescent="0.25">
      <c r="A19" s="77" t="s">
        <v>126</v>
      </c>
      <c r="B19" s="77"/>
      <c r="C19" s="77"/>
      <c r="D19" s="77"/>
      <c r="E19" s="77"/>
      <c r="F19" s="77"/>
      <c r="G19" s="77"/>
      <c r="H19" s="77"/>
    </row>
    <row r="20" spans="1:8" x14ac:dyDescent="0.25">
      <c r="A20" s="39" t="s">
        <v>127</v>
      </c>
    </row>
    <row r="22" spans="1:8" x14ac:dyDescent="0.25">
      <c r="A22" s="8" t="s">
        <v>162</v>
      </c>
      <c r="B22" s="9"/>
      <c r="C22" s="9"/>
      <c r="D22" s="9"/>
      <c r="E22" s="9"/>
      <c r="F22" s="9"/>
      <c r="G22" s="9"/>
      <c r="H22" s="9"/>
    </row>
    <row r="23" spans="1:8" ht="46.35" customHeight="1" x14ac:dyDescent="0.25">
      <c r="A23" s="76" t="s">
        <v>190</v>
      </c>
      <c r="B23" s="76"/>
      <c r="C23" s="76"/>
      <c r="D23" s="76"/>
      <c r="E23" s="76"/>
      <c r="F23" s="76"/>
      <c r="G23" s="76"/>
      <c r="H23" s="76"/>
    </row>
  </sheetData>
  <mergeCells count="13">
    <mergeCell ref="A23:H23"/>
    <mergeCell ref="A19:H19"/>
    <mergeCell ref="A2:H2"/>
    <mergeCell ref="B5:H5"/>
    <mergeCell ref="B6:H6"/>
    <mergeCell ref="A16:H16"/>
    <mergeCell ref="B9:H9"/>
    <mergeCell ref="B10:H10"/>
    <mergeCell ref="B11:H11"/>
    <mergeCell ref="B12:H12"/>
    <mergeCell ref="B7:H7"/>
    <mergeCell ref="B8:H8"/>
    <mergeCell ref="B13:H13"/>
  </mergeCells>
  <hyperlinks>
    <hyperlink ref="A20" r:id="rId1" xr:uid="{AD652633-1B6B-4A7B-B317-A5A36C14E420}"/>
  </hyperlinks>
  <pageMargins left="0.7" right="0.7" top="0.75" bottom="0.75" header="0.3" footer="0.3"/>
  <pageSetup scale="93" orientation="portrait" r:id="rId2"/>
  <colBreaks count="1" manualBreakCount="1">
    <brk id="8"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D4843-BFF4-4618-A90C-C8ABAD344A8D}">
  <sheetPr>
    <tabColor theme="5" tint="0.79998168889431442"/>
  </sheetPr>
  <dimension ref="A1:C70"/>
  <sheetViews>
    <sheetView zoomScaleNormal="100" workbookViewId="0"/>
  </sheetViews>
  <sheetFormatPr baseColWidth="10" defaultColWidth="10.85546875" defaultRowHeight="15" x14ac:dyDescent="0.25"/>
  <cols>
    <col min="1" max="1" width="25.42578125" customWidth="1"/>
    <col min="2" max="2" width="31.42578125" customWidth="1"/>
    <col min="3" max="3" width="22.85546875" customWidth="1"/>
  </cols>
  <sheetData>
    <row r="1" spans="1:3" x14ac:dyDescent="0.25">
      <c r="A1" s="8" t="s">
        <v>27</v>
      </c>
      <c r="B1" s="9" t="s">
        <v>151</v>
      </c>
    </row>
    <row r="2" spans="1:3" x14ac:dyDescent="0.25">
      <c r="A2" s="8" t="s">
        <v>28</v>
      </c>
      <c r="B2" s="9" t="s">
        <v>111</v>
      </c>
    </row>
    <row r="4" spans="1:3" x14ac:dyDescent="0.25">
      <c r="A4" s="8" t="s">
        <v>25</v>
      </c>
      <c r="B4" s="9"/>
      <c r="C4" s="9"/>
    </row>
    <row r="5" spans="1:3" ht="57" customHeight="1" x14ac:dyDescent="0.25">
      <c r="A5" s="77" t="s">
        <v>2</v>
      </c>
      <c r="B5" s="77"/>
      <c r="C5" s="77"/>
    </row>
    <row r="6" spans="1:3" x14ac:dyDescent="0.25">
      <c r="B6" s="80" t="s">
        <v>165</v>
      </c>
      <c r="C6" s="80"/>
    </row>
    <row r="7" spans="1:3" x14ac:dyDescent="0.25">
      <c r="B7" s="18" t="s">
        <v>3</v>
      </c>
      <c r="C7" s="19" t="s">
        <v>4</v>
      </c>
    </row>
    <row r="8" spans="1:3" x14ac:dyDescent="0.25">
      <c r="A8" t="s">
        <v>148</v>
      </c>
      <c r="B8">
        <f>Rendements_CECPA!B3</f>
        <v>0.9</v>
      </c>
      <c r="C8" s="20"/>
    </row>
    <row r="9" spans="1:3" x14ac:dyDescent="0.25">
      <c r="A9" t="s">
        <v>149</v>
      </c>
      <c r="B9">
        <f>Rendements_CECPA!B4</f>
        <v>1.6</v>
      </c>
      <c r="C9" s="20"/>
    </row>
    <row r="10" spans="1:3" x14ac:dyDescent="0.25">
      <c r="A10" t="s">
        <v>0</v>
      </c>
      <c r="B10">
        <f>Rendements_CECPA!B5</f>
        <v>2.5</v>
      </c>
      <c r="C10" s="20"/>
    </row>
    <row r="11" spans="1:3" x14ac:dyDescent="0.25">
      <c r="A11" t="s">
        <v>1</v>
      </c>
      <c r="B11">
        <f>Rendements_CECPA!B6</f>
        <v>2.2000000000000002</v>
      </c>
      <c r="C11" s="20"/>
    </row>
    <row r="12" spans="1:3" x14ac:dyDescent="0.25">
      <c r="A12" t="s">
        <v>21</v>
      </c>
      <c r="B12">
        <f>Rendements_CECPA!B8</f>
        <v>2.8</v>
      </c>
      <c r="C12" s="20"/>
    </row>
    <row r="13" spans="1:3" x14ac:dyDescent="0.25">
      <c r="A13" t="s">
        <v>20</v>
      </c>
      <c r="B13" s="38">
        <f>Rendements_CECPA!B7</f>
        <v>3.5</v>
      </c>
      <c r="C13" s="20"/>
    </row>
    <row r="14" spans="1:3" x14ac:dyDescent="0.25">
      <c r="A14" t="s">
        <v>112</v>
      </c>
      <c r="B14" s="38">
        <f>Rendements_CECPA!B9</f>
        <v>2.1</v>
      </c>
      <c r="C14" s="20"/>
    </row>
    <row r="15" spans="1:3" x14ac:dyDescent="0.25">
      <c r="A15" t="s">
        <v>73</v>
      </c>
      <c r="B15" s="38">
        <f>Rendements_CECPA!B10</f>
        <v>4.5</v>
      </c>
      <c r="C15" s="20"/>
    </row>
    <row r="16" spans="1:3" x14ac:dyDescent="0.25">
      <c r="A16" t="s">
        <v>153</v>
      </c>
      <c r="B16" s="38">
        <f>Rendements_CECPA!B11</f>
        <v>3</v>
      </c>
      <c r="C16" s="20"/>
    </row>
    <row r="18" spans="1:3" x14ac:dyDescent="0.25">
      <c r="A18" s="8" t="s">
        <v>26</v>
      </c>
      <c r="B18" s="9"/>
      <c r="C18" s="9"/>
    </row>
    <row r="19" spans="1:3" ht="43.7" customHeight="1" x14ac:dyDescent="0.25">
      <c r="A19" s="77" t="s">
        <v>7</v>
      </c>
      <c r="B19" s="77"/>
      <c r="C19" s="77"/>
    </row>
    <row r="20" spans="1:3" x14ac:dyDescent="0.25">
      <c r="B20" s="80" t="s">
        <v>166</v>
      </c>
      <c r="C20" s="80"/>
    </row>
    <row r="21" spans="1:3" x14ac:dyDescent="0.25">
      <c r="B21" s="18" t="s">
        <v>5</v>
      </c>
      <c r="C21" s="19" t="s">
        <v>6</v>
      </c>
    </row>
    <row r="22" spans="1:3" x14ac:dyDescent="0.25">
      <c r="A22" t="s">
        <v>148</v>
      </c>
      <c r="B22" s="36">
        <f>Prix_CECPA!B3</f>
        <v>2935</v>
      </c>
      <c r="C22" s="20"/>
    </row>
    <row r="23" spans="1:3" x14ac:dyDescent="0.25">
      <c r="A23" t="s">
        <v>149</v>
      </c>
      <c r="B23" s="36">
        <f>Prix_CECPA!B4</f>
        <v>1017.5</v>
      </c>
      <c r="C23" s="20"/>
    </row>
    <row r="24" spans="1:3" x14ac:dyDescent="0.25">
      <c r="A24" t="s">
        <v>0</v>
      </c>
      <c r="B24" s="36">
        <f>Prix_CECPA!B5</f>
        <v>565</v>
      </c>
      <c r="C24" s="20"/>
    </row>
    <row r="25" spans="1:3" x14ac:dyDescent="0.25">
      <c r="A25" t="s">
        <v>1</v>
      </c>
      <c r="B25" s="36">
        <f>Prix_CECPA!B6</f>
        <v>435</v>
      </c>
      <c r="C25" s="20"/>
    </row>
    <row r="26" spans="1:3" x14ac:dyDescent="0.25">
      <c r="A26" t="s">
        <v>21</v>
      </c>
      <c r="B26" s="36">
        <f>Prix_CECPA!B8</f>
        <v>569.79999999999995</v>
      </c>
      <c r="C26" s="20"/>
    </row>
    <row r="27" spans="1:3" x14ac:dyDescent="0.25">
      <c r="A27" t="s">
        <v>20</v>
      </c>
      <c r="B27" s="36">
        <f>Prix_CECPA!B7</f>
        <v>569.79999999999995</v>
      </c>
      <c r="C27" s="20"/>
    </row>
    <row r="28" spans="1:3" x14ac:dyDescent="0.25">
      <c r="A28" t="s">
        <v>112</v>
      </c>
      <c r="B28" s="36">
        <f>Prix_CECPA!B9</f>
        <v>462.5</v>
      </c>
      <c r="C28" s="20"/>
    </row>
    <row r="29" spans="1:3" x14ac:dyDescent="0.25">
      <c r="A29" t="s">
        <v>73</v>
      </c>
      <c r="B29" s="36">
        <f>Prix_CECPA!B10</f>
        <v>462.5</v>
      </c>
      <c r="C29" s="20"/>
    </row>
    <row r="30" spans="1:3" x14ac:dyDescent="0.25">
      <c r="A30" t="s">
        <v>153</v>
      </c>
      <c r="B30" s="36">
        <f>Prix_CECPA!B11</f>
        <v>209.09</v>
      </c>
      <c r="C30" s="20"/>
    </row>
    <row r="32" spans="1:3" x14ac:dyDescent="0.25">
      <c r="A32" s="8" t="s">
        <v>74</v>
      </c>
      <c r="B32" s="9"/>
      <c r="C32" s="9"/>
    </row>
    <row r="33" spans="1:3" ht="75" customHeight="1" x14ac:dyDescent="0.25">
      <c r="A33" s="77" t="s">
        <v>93</v>
      </c>
      <c r="B33" s="77"/>
      <c r="C33" s="77"/>
    </row>
    <row r="34" spans="1:3" ht="14.45" customHeight="1" x14ac:dyDescent="0.25">
      <c r="A34" s="29"/>
      <c r="B34" s="29"/>
      <c r="C34" s="29"/>
    </row>
    <row r="35" spans="1:3" ht="14.45" customHeight="1" x14ac:dyDescent="0.25">
      <c r="A35" s="29"/>
      <c r="B35" s="26" t="s">
        <v>99</v>
      </c>
      <c r="C35" s="29"/>
    </row>
    <row r="36" spans="1:3" ht="27" customHeight="1" x14ac:dyDescent="0.25">
      <c r="A36" s="29" t="s">
        <v>108</v>
      </c>
      <c r="B36" s="20" t="s">
        <v>163</v>
      </c>
      <c r="C36" s="29"/>
    </row>
    <row r="37" spans="1:3" ht="14.45" customHeight="1" x14ac:dyDescent="0.25">
      <c r="A37" s="29"/>
      <c r="B37" s="29"/>
      <c r="C37" s="29"/>
    </row>
    <row r="38" spans="1:3" ht="14.45" customHeight="1" x14ac:dyDescent="0.25">
      <c r="A38" s="29"/>
      <c r="B38" s="29"/>
      <c r="C38" s="29"/>
    </row>
    <row r="39" spans="1:3" x14ac:dyDescent="0.25">
      <c r="B39" s="79" t="s">
        <v>76</v>
      </c>
      <c r="C39" s="79"/>
    </row>
    <row r="40" spans="1:3" x14ac:dyDescent="0.25">
      <c r="B40" s="18" t="s">
        <v>76</v>
      </c>
      <c r="C40" s="19" t="s">
        <v>77</v>
      </c>
    </row>
    <row r="41" spans="1:3" x14ac:dyDescent="0.25">
      <c r="A41" t="s">
        <v>148</v>
      </c>
      <c r="B41" s="27">
        <v>0</v>
      </c>
      <c r="C41" s="20"/>
    </row>
    <row r="42" spans="1:3" x14ac:dyDescent="0.25">
      <c r="A42" t="s">
        <v>149</v>
      </c>
      <c r="B42" s="27">
        <v>0</v>
      </c>
      <c r="C42" s="20"/>
    </row>
    <row r="43" spans="1:3" x14ac:dyDescent="0.25">
      <c r="A43" t="s">
        <v>0</v>
      </c>
      <c r="B43" s="27">
        <v>0</v>
      </c>
      <c r="C43" s="20"/>
    </row>
    <row r="44" spans="1:3" x14ac:dyDescent="0.25">
      <c r="A44" t="s">
        <v>1</v>
      </c>
      <c r="B44" s="27">
        <v>0</v>
      </c>
      <c r="C44" s="20"/>
    </row>
    <row r="45" spans="1:3" x14ac:dyDescent="0.25">
      <c r="A45" t="s">
        <v>21</v>
      </c>
      <c r="B45" s="27">
        <v>0</v>
      </c>
      <c r="C45" s="20"/>
    </row>
    <row r="46" spans="1:3" x14ac:dyDescent="0.25">
      <c r="A46" t="s">
        <v>20</v>
      </c>
      <c r="B46" s="27">
        <v>0</v>
      </c>
      <c r="C46" s="20"/>
    </row>
    <row r="47" spans="1:3" x14ac:dyDescent="0.25">
      <c r="A47" t="s">
        <v>112</v>
      </c>
      <c r="B47" s="27">
        <v>0</v>
      </c>
      <c r="C47" s="20"/>
    </row>
    <row r="48" spans="1:3" x14ac:dyDescent="0.25">
      <c r="A48" t="s">
        <v>73</v>
      </c>
      <c r="B48" s="27">
        <v>0</v>
      </c>
      <c r="C48" s="20"/>
    </row>
    <row r="49" spans="1:3" x14ac:dyDescent="0.25">
      <c r="A49" t="s">
        <v>153</v>
      </c>
      <c r="B49" s="27">
        <v>0</v>
      </c>
      <c r="C49" s="20"/>
    </row>
    <row r="51" spans="1:3" x14ac:dyDescent="0.25">
      <c r="B51" s="79" t="s">
        <v>79</v>
      </c>
      <c r="C51" s="79"/>
    </row>
    <row r="52" spans="1:3" x14ac:dyDescent="0.25">
      <c r="B52" s="18" t="s">
        <v>79</v>
      </c>
      <c r="C52" s="19" t="s">
        <v>81</v>
      </c>
    </row>
    <row r="53" spans="1:3" x14ac:dyDescent="0.25">
      <c r="A53" t="s">
        <v>80</v>
      </c>
      <c r="B53">
        <f>IF(B36="Oui",50,0)</f>
        <v>50</v>
      </c>
      <c r="C53" s="20"/>
    </row>
    <row r="54" spans="1:3" x14ac:dyDescent="0.25">
      <c r="A54" t="s">
        <v>113</v>
      </c>
      <c r="B54" s="3">
        <v>0.7</v>
      </c>
      <c r="C54" s="20"/>
    </row>
    <row r="56" spans="1:3" ht="47.1" customHeight="1" x14ac:dyDescent="0.25">
      <c r="A56" s="78" t="s">
        <v>78</v>
      </c>
      <c r="B56" s="78"/>
      <c r="C56" s="78"/>
    </row>
    <row r="58" spans="1:3" x14ac:dyDescent="0.25">
      <c r="A58" s="8" t="s">
        <v>164</v>
      </c>
      <c r="B58" s="9"/>
      <c r="C58" s="9"/>
    </row>
    <row r="59" spans="1:3" ht="87" customHeight="1" x14ac:dyDescent="0.25">
      <c r="A59" s="77" t="s">
        <v>192</v>
      </c>
      <c r="B59" s="77"/>
      <c r="C59" s="77"/>
    </row>
    <row r="60" spans="1:3" x14ac:dyDescent="0.25">
      <c r="B60" s="79" t="s">
        <v>82</v>
      </c>
      <c r="C60" s="79"/>
    </row>
    <row r="61" spans="1:3" x14ac:dyDescent="0.25">
      <c r="B61" s="18" t="s">
        <v>83</v>
      </c>
      <c r="C61" s="19" t="s">
        <v>84</v>
      </c>
    </row>
    <row r="62" spans="1:3" x14ac:dyDescent="0.25">
      <c r="A62" t="s">
        <v>193</v>
      </c>
      <c r="B62" s="27">
        <v>0</v>
      </c>
      <c r="C62" s="57"/>
    </row>
    <row r="63" spans="1:3" x14ac:dyDescent="0.25">
      <c r="A63" t="s">
        <v>194</v>
      </c>
      <c r="B63" s="27">
        <v>0.5</v>
      </c>
      <c r="C63" s="57"/>
    </row>
    <row r="64" spans="1:3" x14ac:dyDescent="0.25">
      <c r="A64" t="s">
        <v>195</v>
      </c>
      <c r="B64" s="27">
        <v>1</v>
      </c>
      <c r="C64" s="57"/>
    </row>
    <row r="66" spans="1:3" x14ac:dyDescent="0.25">
      <c r="A66" s="8" t="s">
        <v>131</v>
      </c>
      <c r="B66" s="9"/>
      <c r="C66" s="9"/>
    </row>
    <row r="67" spans="1:3" ht="31.5" customHeight="1" x14ac:dyDescent="0.25">
      <c r="A67" s="81" t="s">
        <v>132</v>
      </c>
      <c r="B67" s="81"/>
      <c r="C67" s="81"/>
    </row>
    <row r="68" spans="1:3" x14ac:dyDescent="0.25">
      <c r="B68" s="79" t="s">
        <v>133</v>
      </c>
      <c r="C68" s="79"/>
    </row>
    <row r="69" spans="1:3" x14ac:dyDescent="0.25">
      <c r="B69" s="18" t="s">
        <v>133</v>
      </c>
      <c r="C69" s="19" t="s">
        <v>134</v>
      </c>
    </row>
    <row r="70" spans="1:3" x14ac:dyDescent="0.25">
      <c r="B70" s="40">
        <v>0</v>
      </c>
      <c r="C70" s="41"/>
    </row>
  </sheetData>
  <mergeCells count="12">
    <mergeCell ref="A67:C67"/>
    <mergeCell ref="B68:C68"/>
    <mergeCell ref="A56:C56"/>
    <mergeCell ref="B51:C51"/>
    <mergeCell ref="A59:C59"/>
    <mergeCell ref="B60:C60"/>
    <mergeCell ref="B39:C39"/>
    <mergeCell ref="B6:C6"/>
    <mergeCell ref="A5:C5"/>
    <mergeCell ref="A19:C19"/>
    <mergeCell ref="B20:C20"/>
    <mergeCell ref="A33:C33"/>
  </mergeCells>
  <dataValidations count="1">
    <dataValidation type="list" allowBlank="1" showInputMessage="1" showErrorMessage="1" sqref="B36" xr:uid="{23656E4D-5E82-4179-ABC2-34A18AEBA6BE}">
      <formula1>"Oui, Non"</formula1>
    </dataValidation>
  </dataValidation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7F11C-0202-44A0-AA99-0B02328B7BB6}">
  <dimension ref="A1:E12"/>
  <sheetViews>
    <sheetView zoomScaleNormal="100" workbookViewId="0">
      <selection activeCell="D3" sqref="D3"/>
    </sheetView>
  </sheetViews>
  <sheetFormatPr baseColWidth="10" defaultColWidth="10.85546875" defaultRowHeight="15" x14ac:dyDescent="0.25"/>
  <cols>
    <col min="2" max="2" width="16.5703125" customWidth="1"/>
    <col min="3" max="3" width="41.85546875" customWidth="1"/>
    <col min="4" max="4" width="59" customWidth="1"/>
    <col min="5" max="5" width="50.5703125" customWidth="1"/>
  </cols>
  <sheetData>
    <row r="1" spans="1:5" x14ac:dyDescent="0.25">
      <c r="A1" s="79" t="s">
        <v>98</v>
      </c>
      <c r="B1" s="79"/>
      <c r="C1" s="79"/>
      <c r="D1" s="79"/>
      <c r="E1" s="79"/>
    </row>
    <row r="2" spans="1:5" x14ac:dyDescent="0.25">
      <c r="A2" s="1" t="s">
        <v>55</v>
      </c>
      <c r="B2" s="1" t="s">
        <v>56</v>
      </c>
      <c r="C2" s="1" t="s">
        <v>60</v>
      </c>
      <c r="D2" s="1" t="s">
        <v>57</v>
      </c>
      <c r="E2" s="1" t="s">
        <v>58</v>
      </c>
    </row>
    <row r="3" spans="1:5" ht="165" x14ac:dyDescent="0.25">
      <c r="A3" s="24">
        <v>2015</v>
      </c>
      <c r="B3" s="24" t="s">
        <v>59</v>
      </c>
      <c r="C3" s="25" t="s">
        <v>117</v>
      </c>
      <c r="D3" s="25" t="s">
        <v>118</v>
      </c>
      <c r="E3" s="25" t="s">
        <v>116</v>
      </c>
    </row>
    <row r="4" spans="1:5" ht="105" x14ac:dyDescent="0.25">
      <c r="A4" s="24">
        <v>2013</v>
      </c>
      <c r="B4" s="24" t="s">
        <v>59</v>
      </c>
      <c r="C4" s="25" t="s">
        <v>61</v>
      </c>
      <c r="D4" s="25" t="s">
        <v>62</v>
      </c>
      <c r="E4" s="82" t="s">
        <v>72</v>
      </c>
    </row>
    <row r="5" spans="1:5" ht="75" x14ac:dyDescent="0.25">
      <c r="A5" s="24">
        <v>2009</v>
      </c>
      <c r="B5" s="24" t="s">
        <v>63</v>
      </c>
      <c r="C5" s="25" t="s">
        <v>64</v>
      </c>
      <c r="D5" s="25" t="s">
        <v>65</v>
      </c>
      <c r="E5" s="82"/>
    </row>
    <row r="6" spans="1:5" ht="90" x14ac:dyDescent="0.25">
      <c r="A6" s="24">
        <v>2011</v>
      </c>
      <c r="B6" s="25" t="s">
        <v>66</v>
      </c>
      <c r="C6" s="25" t="s">
        <v>67</v>
      </c>
      <c r="D6" s="25" t="s">
        <v>68</v>
      </c>
      <c r="E6" s="82"/>
    </row>
    <row r="7" spans="1:5" ht="60" x14ac:dyDescent="0.25">
      <c r="A7" s="24">
        <v>2014</v>
      </c>
      <c r="B7" s="24" t="s">
        <v>69</v>
      </c>
      <c r="C7" s="25" t="s">
        <v>70</v>
      </c>
      <c r="D7" s="25" t="s">
        <v>71</v>
      </c>
      <c r="E7" s="82"/>
    </row>
    <row r="10" spans="1:5" x14ac:dyDescent="0.25">
      <c r="A10" s="79" t="s">
        <v>99</v>
      </c>
      <c r="B10" s="79"/>
      <c r="C10" s="79"/>
      <c r="D10" s="79"/>
      <c r="E10" s="79"/>
    </row>
    <row r="11" spans="1:5" x14ac:dyDescent="0.25">
      <c r="A11" s="1" t="s">
        <v>55</v>
      </c>
      <c r="B11" s="1" t="s">
        <v>56</v>
      </c>
      <c r="C11" s="1" t="s">
        <v>99</v>
      </c>
      <c r="D11" s="1" t="s">
        <v>57</v>
      </c>
      <c r="E11" s="1" t="s">
        <v>58</v>
      </c>
    </row>
    <row r="12" spans="1:5" ht="90" x14ac:dyDescent="0.25">
      <c r="A12" s="24">
        <v>2022</v>
      </c>
      <c r="B12" s="24" t="s">
        <v>97</v>
      </c>
      <c r="C12" s="25" t="s">
        <v>101</v>
      </c>
      <c r="D12" s="25" t="s">
        <v>100</v>
      </c>
      <c r="E12" s="25" t="s">
        <v>102</v>
      </c>
    </row>
  </sheetData>
  <mergeCells count="3">
    <mergeCell ref="E4:E7"/>
    <mergeCell ref="A1:E1"/>
    <mergeCell ref="A10:E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73F05-F423-4741-B36F-24CC537B879C}">
  <sheetPr>
    <tabColor theme="5" tint="0.79998168889431442"/>
  </sheetPr>
  <dimension ref="A1:I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9" x14ac:dyDescent="0.25">
      <c r="E1" s="2" t="s">
        <v>34</v>
      </c>
      <c r="F1" s="2"/>
      <c r="G1" s="2" t="s">
        <v>34</v>
      </c>
    </row>
    <row r="2" spans="1:9" ht="15.75" x14ac:dyDescent="0.25">
      <c r="E2" s="21" t="s">
        <v>151</v>
      </c>
      <c r="F2" s="12"/>
      <c r="G2" s="22" t="s">
        <v>22</v>
      </c>
    </row>
    <row r="3" spans="1:9" ht="7.35" customHeight="1" x14ac:dyDescent="0.25">
      <c r="E3" s="12"/>
      <c r="F3" s="12"/>
      <c r="G3" s="12"/>
    </row>
    <row r="4" spans="1:9" x14ac:dyDescent="0.25">
      <c r="A4" s="8" t="s">
        <v>9</v>
      </c>
      <c r="B4" s="9"/>
      <c r="C4" s="9"/>
      <c r="D4" s="9"/>
      <c r="E4" s="9"/>
      <c r="F4" s="9"/>
      <c r="G4" s="9"/>
    </row>
    <row r="5" spans="1:9" x14ac:dyDescent="0.25">
      <c r="A5" t="s">
        <v>44</v>
      </c>
      <c r="E5" s="3">
        <f>Saisies!B8*Saisies!B22</f>
        <v>2641.5</v>
      </c>
      <c r="F5" s="3"/>
      <c r="G5" s="3">
        <f>IF(Saisies!C8="",Saisies!B8,Saisies!C8)*IF(Saisies!C22="",Saisies!B22,Saisies!C22)</f>
        <v>2641.5</v>
      </c>
      <c r="H5" t="str">
        <f>IF(G5="","",IF(OR(G5&gt;E5*(1+0.5),G5&lt;E5*(1-0.5)),"La valeur saisie diffère grandement des coûts utilisés dans le modèle. Assurez-vous qu'il ne s'agit pas d'une erreur de saisie",""))</f>
        <v/>
      </c>
    </row>
    <row r="6" spans="1:9" x14ac:dyDescent="0.25">
      <c r="A6" t="s">
        <v>8</v>
      </c>
      <c r="E6" s="3">
        <f>IF(ASRA_Calculs!$B$2&lt;ASRA_Calculs!$C$2,(ASRA_Calculs!$C$2-ASRA_Calculs!$B$2)*ASRA_Calculs!$D$2,0)</f>
        <v>0</v>
      </c>
      <c r="F6" s="3"/>
      <c r="G6" s="3">
        <f>IF(ASRA_Calculs!$B$2&lt;ASRA_Calculs!$C$2,(ASRA_Calculs!$C$2-ASRA_Calculs!$B$2)*ASRA_Calculs!$D$2,0)</f>
        <v>0</v>
      </c>
      <c r="H6" t="str">
        <f t="shared" ref="H6:H9" si="0">IF(G6="","",IF(OR(G6&gt;E6*(1+0.5),G6&lt;E6*(1-0.5)),"La valeur saisie diffère grandement des coûts utilisés dans le modèle. Assurez-vous qu'il ne s'agit pas d'une erreur de saisie",""))</f>
        <v/>
      </c>
    </row>
    <row r="7" spans="1:9" x14ac:dyDescent="0.25">
      <c r="A7" t="s">
        <v>14</v>
      </c>
      <c r="E7" s="3">
        <v>0</v>
      </c>
      <c r="F7" s="3"/>
      <c r="G7" s="5"/>
      <c r="H7" t="str">
        <f t="shared" si="0"/>
        <v/>
      </c>
    </row>
    <row r="8" spans="1:9" outlineLevel="1" x14ac:dyDescent="0.25">
      <c r="A8" s="30" t="s">
        <v>144</v>
      </c>
      <c r="E8" s="3">
        <f>(E5-E16)*0.042</f>
        <v>99.65382000000001</v>
      </c>
      <c r="F8" s="3"/>
      <c r="G8" s="3">
        <f>(G5-G16)*0.042</f>
        <v>110.94300000000001</v>
      </c>
    </row>
    <row r="9" spans="1:9" outlineLevel="1" x14ac:dyDescent="0.25">
      <c r="A9" s="30" t="s">
        <v>15</v>
      </c>
      <c r="E9" s="3">
        <v>100.94</v>
      </c>
      <c r="F9" s="3"/>
      <c r="G9" s="5"/>
      <c r="H9" t="str">
        <f t="shared" si="0"/>
        <v/>
      </c>
    </row>
    <row r="10" spans="1:9" x14ac:dyDescent="0.25">
      <c r="A10" s="1" t="s">
        <v>15</v>
      </c>
      <c r="E10" s="4">
        <f>SUM(E8:E9)</f>
        <v>200.59381999999999</v>
      </c>
      <c r="F10" s="3"/>
      <c r="G10" s="42">
        <f>SUM(G8:G9)</f>
        <v>110.94300000000001</v>
      </c>
    </row>
    <row r="11" spans="1:9" x14ac:dyDescent="0.25">
      <c r="E11" s="3"/>
      <c r="F11" s="3"/>
      <c r="G11" s="3"/>
    </row>
    <row r="12" spans="1:9" x14ac:dyDescent="0.25">
      <c r="A12" s="1" t="s">
        <v>10</v>
      </c>
      <c r="E12" s="6">
        <f>SUM(E5:E7)+E10</f>
        <v>2842.0938200000001</v>
      </c>
      <c r="F12" s="4"/>
      <c r="G12" s="6">
        <f>SUM(G5:G7)+G10</f>
        <v>2752.4430000000002</v>
      </c>
    </row>
    <row r="13" spans="1:9" x14ac:dyDescent="0.25">
      <c r="E13" s="3"/>
      <c r="F13" s="3"/>
      <c r="G13" s="3"/>
    </row>
    <row r="14" spans="1:9" x14ac:dyDescent="0.25">
      <c r="E14" s="3"/>
      <c r="F14" s="3"/>
      <c r="G14" s="3"/>
    </row>
    <row r="15" spans="1:9" x14ac:dyDescent="0.25">
      <c r="A15" s="8" t="s">
        <v>139</v>
      </c>
      <c r="B15" s="9"/>
      <c r="C15" s="9"/>
      <c r="D15" s="9"/>
      <c r="E15" s="9"/>
      <c r="F15" s="9"/>
      <c r="G15" s="9"/>
      <c r="H15" s="1"/>
      <c r="I15" s="1"/>
    </row>
    <row r="16" spans="1:9" x14ac:dyDescent="0.25">
      <c r="A16" t="s">
        <v>75</v>
      </c>
      <c r="E16" s="3">
        <v>268.79000000000002</v>
      </c>
      <c r="F16" s="3"/>
      <c r="G16" s="5"/>
    </row>
    <row r="17" spans="1:8" x14ac:dyDescent="0.25">
      <c r="A17" t="s">
        <v>135</v>
      </c>
      <c r="E17" s="3">
        <v>115.44</v>
      </c>
      <c r="F17" s="3"/>
      <c r="G17" s="5"/>
    </row>
    <row r="18" spans="1:8" x14ac:dyDescent="0.25">
      <c r="A18" t="s">
        <v>11</v>
      </c>
      <c r="D18">
        <f>37.97/0.9</f>
        <v>42.18888888888889</v>
      </c>
      <c r="E18" s="3">
        <v>37.97</v>
      </c>
      <c r="F18" s="3"/>
      <c r="G18" s="5"/>
    </row>
    <row r="19" spans="1:8" x14ac:dyDescent="0.25">
      <c r="A19" t="s">
        <v>136</v>
      </c>
      <c r="E19" s="3">
        <v>231.99</v>
      </c>
      <c r="F19" s="3"/>
      <c r="G19" s="5"/>
    </row>
    <row r="20" spans="1:8" x14ac:dyDescent="0.25">
      <c r="A20" t="s">
        <v>137</v>
      </c>
      <c r="E20" s="3">
        <v>140.34</v>
      </c>
      <c r="F20" s="3"/>
      <c r="G20" s="5"/>
    </row>
    <row r="21" spans="1:8" x14ac:dyDescent="0.25">
      <c r="A21" t="s">
        <v>138</v>
      </c>
      <c r="D21">
        <f>109.13/0.9</f>
        <v>121.25555555555555</v>
      </c>
      <c r="E21" s="3">
        <v>109.13</v>
      </c>
      <c r="F21" s="3"/>
      <c r="G21" s="5"/>
    </row>
    <row r="22" spans="1:8" x14ac:dyDescent="0.25">
      <c r="A22" t="s">
        <v>141</v>
      </c>
      <c r="E22" s="3">
        <v>68.27</v>
      </c>
      <c r="F22" s="3"/>
      <c r="G22" s="5"/>
    </row>
    <row r="23" spans="1:8" x14ac:dyDescent="0.25">
      <c r="A23" t="s">
        <v>142</v>
      </c>
      <c r="E23" s="3">
        <v>113.75</v>
      </c>
      <c r="F23" s="3"/>
      <c r="G23" s="5"/>
    </row>
    <row r="24" spans="1:8" x14ac:dyDescent="0.25">
      <c r="A24" t="s">
        <v>13</v>
      </c>
      <c r="E24" s="3">
        <v>142.02000000000001</v>
      </c>
      <c r="F24" s="3"/>
      <c r="G24" s="5"/>
    </row>
    <row r="25" spans="1:8" x14ac:dyDescent="0.25">
      <c r="B25" s="1" t="s">
        <v>12</v>
      </c>
      <c r="E25" s="6">
        <f>SUM(E16:E24)</f>
        <v>1227.7</v>
      </c>
      <c r="F25" s="4"/>
      <c r="G25" s="6">
        <f>SUM(G16:G24)</f>
        <v>0</v>
      </c>
    </row>
    <row r="26" spans="1:8" x14ac:dyDescent="0.25">
      <c r="E26" s="3"/>
      <c r="F26" s="3"/>
      <c r="G26" s="3"/>
    </row>
    <row r="27" spans="1:8" ht="28.35" customHeight="1" x14ac:dyDescent="0.25">
      <c r="A27" s="83" t="s">
        <v>35</v>
      </c>
      <c r="B27" s="83"/>
      <c r="C27" s="83"/>
      <c r="D27" s="26"/>
      <c r="E27" s="6">
        <f>E12-E25</f>
        <v>1614.39382</v>
      </c>
      <c r="F27" s="4"/>
      <c r="G27" s="6">
        <f>G12-G25</f>
        <v>2752.4430000000002</v>
      </c>
    </row>
    <row r="28" spans="1:8" x14ac:dyDescent="0.25">
      <c r="E28" s="3"/>
      <c r="F28" s="3"/>
      <c r="G28" s="3"/>
    </row>
    <row r="29" spans="1:8" x14ac:dyDescent="0.25">
      <c r="A29" s="8" t="s">
        <v>143</v>
      </c>
      <c r="B29" s="9"/>
      <c r="C29" s="9"/>
      <c r="D29" s="9"/>
      <c r="E29" s="9"/>
      <c r="F29" s="9"/>
      <c r="G29" s="9"/>
    </row>
    <row r="30" spans="1:8" x14ac:dyDescent="0.25">
      <c r="A30" t="s">
        <v>16</v>
      </c>
      <c r="E30" s="3">
        <v>398.54</v>
      </c>
      <c r="F30" s="3"/>
      <c r="G30" s="5"/>
    </row>
    <row r="31" spans="1:8" x14ac:dyDescent="0.25">
      <c r="A31" t="s">
        <v>17</v>
      </c>
      <c r="E31" s="3">
        <v>395.23</v>
      </c>
      <c r="F31" s="3"/>
      <c r="G31" s="5"/>
      <c r="H31" t="str">
        <f t="shared" ref="H31" si="1">IF(G31="","",IF(OR(G31&gt;E31*(1+0.5),G31&lt;E31*(1-0.5)),"La valeur saisie diffère grandement des coûts utilisés dans le modèle. Assurez-vous qu'il ne s'agit pas d'une erreur de saisie",""))</f>
        <v/>
      </c>
    </row>
    <row r="32" spans="1:8" x14ac:dyDescent="0.25">
      <c r="B32" s="1" t="s">
        <v>12</v>
      </c>
      <c r="E32" s="4">
        <f>SUM(E30:E31)</f>
        <v>793.77</v>
      </c>
      <c r="F32" s="4"/>
      <c r="G32" s="4">
        <f>SUM(G30:G31)</f>
        <v>0</v>
      </c>
    </row>
    <row r="33" spans="1:7" x14ac:dyDescent="0.25">
      <c r="E33" s="3"/>
      <c r="F33" s="3"/>
      <c r="G33" s="3"/>
    </row>
    <row r="34" spans="1:7" ht="48" customHeight="1" thickBot="1" x14ac:dyDescent="0.3">
      <c r="A34" s="83" t="s">
        <v>36</v>
      </c>
      <c r="B34" s="83"/>
      <c r="C34" s="83"/>
      <c r="D34" s="26"/>
      <c r="E34" s="7">
        <f>E27-E32</f>
        <v>820.62382000000002</v>
      </c>
      <c r="F34" s="4"/>
      <c r="G34" s="7">
        <f>G27-G32</f>
        <v>2752.4430000000002</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69544-9CDB-4422-A59B-DA792AC65C6C}">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34</v>
      </c>
      <c r="F1" s="2"/>
      <c r="G1" s="2" t="s">
        <v>34</v>
      </c>
    </row>
    <row r="2" spans="1:8" ht="15.75" x14ac:dyDescent="0.25">
      <c r="E2" s="21" t="s">
        <v>151</v>
      </c>
      <c r="F2" s="12"/>
      <c r="G2" s="22" t="s">
        <v>22</v>
      </c>
    </row>
    <row r="3" spans="1:8" ht="7.35" customHeight="1" x14ac:dyDescent="0.25">
      <c r="E3" s="12"/>
      <c r="F3" s="12"/>
      <c r="G3" s="12"/>
    </row>
    <row r="4" spans="1:8" x14ac:dyDescent="0.25">
      <c r="A4" s="8" t="s">
        <v>9</v>
      </c>
      <c r="B4" s="9"/>
      <c r="C4" s="9"/>
      <c r="D4" s="9"/>
      <c r="E4" s="9"/>
      <c r="F4" s="9"/>
      <c r="G4" s="9"/>
    </row>
    <row r="5" spans="1:8" x14ac:dyDescent="0.25">
      <c r="A5" t="s">
        <v>44</v>
      </c>
      <c r="E5" s="3">
        <f>Saisies!B9*Saisies!B23</f>
        <v>1628</v>
      </c>
      <c r="F5" s="3"/>
      <c r="G5" s="3">
        <f>IF(Saisies!C9="",Saisies!B9,Saisies!C9)*IF(Saisies!C23="",Saisies!B23,Saisies!C23)</f>
        <v>1628</v>
      </c>
      <c r="H5" t="str">
        <f>IF(G5="","",IF(OR(G5&gt;E5*(1+0.5),G5&lt;E5*(1-0.5)),"La valeur saisie diffère grandement des coûts utilisés dans le modèle. Assurez-vous qu'il ne s'agit pas d'une erreur de saisie",""))</f>
        <v/>
      </c>
    </row>
    <row r="6" spans="1:8" x14ac:dyDescent="0.25">
      <c r="A6" t="s">
        <v>8</v>
      </c>
      <c r="E6" s="3">
        <f>IF(ASRA_Calculs!$B$3&lt;ASRA_Calculs!$C$3,(ASRA_Calculs!$C$3-ASRA_Calculs!$B$3)*ASRA_Calculs!$D$3,0)</f>
        <v>0</v>
      </c>
      <c r="F6" s="3"/>
      <c r="G6" s="3">
        <f>IF(ASRA_Calculs!$B$3&lt;ASRA_Calculs!$C$3,(ASRA_Calculs!$C$3-ASRA_Calculs!$B$3)*ASRA_Calculs!$D$3,0)</f>
        <v>0</v>
      </c>
      <c r="H6" t="str">
        <f t="shared" ref="H6:H9" si="0">IF(G6="","",IF(OR(G6&gt;E6*(1+0.5),G6&lt;E6*(1-0.5)),"La valeur saisie diffère grandement des coûts utilisés dans le modèle. Assurez-vous qu'il ne s'agit pas d'une erreur de saisie",""))</f>
        <v/>
      </c>
    </row>
    <row r="7" spans="1:8" x14ac:dyDescent="0.25">
      <c r="A7" t="s">
        <v>14</v>
      </c>
      <c r="E7" s="3">
        <v>0</v>
      </c>
      <c r="F7" s="3"/>
      <c r="G7" s="5"/>
      <c r="H7" t="str">
        <f t="shared" si="0"/>
        <v/>
      </c>
    </row>
    <row r="8" spans="1:8" outlineLevel="1" x14ac:dyDescent="0.25">
      <c r="A8" s="30" t="s">
        <v>144</v>
      </c>
      <c r="E8" s="3">
        <f>(E5-E16)*0.042</f>
        <v>63.518700000000003</v>
      </c>
      <c r="F8" s="3"/>
      <c r="G8" s="3">
        <f>(G5-G16)*0.042</f>
        <v>68.376000000000005</v>
      </c>
    </row>
    <row r="9" spans="1:8" outlineLevel="1" x14ac:dyDescent="0.25">
      <c r="A9" s="30" t="s">
        <v>15</v>
      </c>
      <c r="E9" s="3">
        <v>176.08</v>
      </c>
      <c r="F9" s="3"/>
      <c r="G9" s="5"/>
      <c r="H9" t="str">
        <f t="shared" si="0"/>
        <v/>
      </c>
    </row>
    <row r="10" spans="1:8" x14ac:dyDescent="0.25">
      <c r="A10" s="1" t="s">
        <v>15</v>
      </c>
      <c r="E10" s="4">
        <f>SUM(E8:E9)</f>
        <v>239.59870000000001</v>
      </c>
      <c r="F10" s="3"/>
      <c r="G10" s="42">
        <f>SUM(G8:G9)</f>
        <v>68.376000000000005</v>
      </c>
    </row>
    <row r="11" spans="1:8" x14ac:dyDescent="0.25">
      <c r="E11" s="3"/>
      <c r="F11" s="3"/>
      <c r="G11" s="3"/>
    </row>
    <row r="12" spans="1:8" x14ac:dyDescent="0.25">
      <c r="A12" s="1" t="s">
        <v>10</v>
      </c>
      <c r="E12" s="6">
        <f>SUM(E5:E7)+E10</f>
        <v>1867.5987</v>
      </c>
      <c r="F12" s="4"/>
      <c r="G12" s="6">
        <f>SUM(G5:G7)+G10</f>
        <v>1696.376</v>
      </c>
    </row>
    <row r="13" spans="1:8" x14ac:dyDescent="0.25">
      <c r="E13" s="3"/>
      <c r="F13" s="3"/>
      <c r="G13" s="3"/>
    </row>
    <row r="14" spans="1:8" x14ac:dyDescent="0.25">
      <c r="E14" s="3"/>
      <c r="F14" s="3"/>
      <c r="G14" s="3"/>
    </row>
    <row r="15" spans="1:8" x14ac:dyDescent="0.25">
      <c r="A15" s="8" t="s">
        <v>139</v>
      </c>
      <c r="B15" s="9"/>
      <c r="C15" s="9"/>
      <c r="D15" s="9"/>
      <c r="E15" s="9"/>
      <c r="F15" s="9"/>
      <c r="G15" s="9"/>
      <c r="H15" s="1"/>
    </row>
    <row r="16" spans="1:8" x14ac:dyDescent="0.25">
      <c r="A16" t="s">
        <v>75</v>
      </c>
      <c r="E16" s="3">
        <v>115.65</v>
      </c>
      <c r="F16" s="3"/>
      <c r="G16" s="5"/>
    </row>
    <row r="17" spans="1:7" x14ac:dyDescent="0.25">
      <c r="A17" t="s">
        <v>135</v>
      </c>
      <c r="E17" s="3">
        <v>48.9</v>
      </c>
      <c r="F17" s="3"/>
      <c r="G17" s="5"/>
    </row>
    <row r="18" spans="1:7" x14ac:dyDescent="0.25">
      <c r="A18" t="s">
        <v>11</v>
      </c>
      <c r="D18">
        <f>44.49/1.6</f>
        <v>27.806249999999999</v>
      </c>
      <c r="E18" s="3">
        <v>44.49</v>
      </c>
      <c r="F18" s="3"/>
      <c r="G18" s="5"/>
    </row>
    <row r="19" spans="1:7" x14ac:dyDescent="0.25">
      <c r="A19" t="s">
        <v>136</v>
      </c>
      <c r="E19" s="3">
        <v>145.07</v>
      </c>
      <c r="F19" s="3"/>
      <c r="G19" s="5"/>
    </row>
    <row r="20" spans="1:7" x14ac:dyDescent="0.25">
      <c r="A20" t="s">
        <v>137</v>
      </c>
      <c r="E20" s="3">
        <v>209.65</v>
      </c>
      <c r="F20" s="3"/>
      <c r="G20" s="5"/>
    </row>
    <row r="21" spans="1:7" x14ac:dyDescent="0.25">
      <c r="A21" t="s">
        <v>138</v>
      </c>
      <c r="D21">
        <f>160.38/1.6</f>
        <v>100.2375</v>
      </c>
      <c r="E21" s="3">
        <v>160.38</v>
      </c>
      <c r="F21" s="3"/>
      <c r="G21" s="5"/>
    </row>
    <row r="22" spans="1:7" x14ac:dyDescent="0.25">
      <c r="A22" t="s">
        <v>141</v>
      </c>
      <c r="E22" s="3">
        <v>62.77</v>
      </c>
      <c r="F22" s="3"/>
      <c r="G22" s="5"/>
    </row>
    <row r="23" spans="1:7" x14ac:dyDescent="0.25">
      <c r="A23" t="s">
        <v>142</v>
      </c>
      <c r="E23" s="3">
        <v>129.24</v>
      </c>
      <c r="F23" s="3"/>
      <c r="G23" s="5"/>
    </row>
    <row r="24" spans="1:7" x14ac:dyDescent="0.25">
      <c r="A24" t="s">
        <v>13</v>
      </c>
      <c r="E24" s="3">
        <v>77.56</v>
      </c>
      <c r="F24" s="3"/>
      <c r="G24" s="5"/>
    </row>
    <row r="25" spans="1:7" x14ac:dyDescent="0.25">
      <c r="B25" s="1" t="s">
        <v>12</v>
      </c>
      <c r="E25" s="6">
        <f>SUM(E16:E24)</f>
        <v>993.71</v>
      </c>
      <c r="F25" s="4"/>
      <c r="G25" s="6">
        <f>SUM(G16:G24)</f>
        <v>0</v>
      </c>
    </row>
    <row r="26" spans="1:7" x14ac:dyDescent="0.25">
      <c r="E26" s="3"/>
      <c r="F26" s="3"/>
      <c r="G26" s="3"/>
    </row>
    <row r="27" spans="1:7" ht="28.35" customHeight="1" x14ac:dyDescent="0.25">
      <c r="A27" s="83" t="s">
        <v>35</v>
      </c>
      <c r="B27" s="83"/>
      <c r="C27" s="83"/>
      <c r="D27" s="26"/>
      <c r="E27" s="6">
        <f>E12-E25</f>
        <v>873.88869999999997</v>
      </c>
      <c r="F27" s="4"/>
      <c r="G27" s="6">
        <f>G12-G25</f>
        <v>1696.376</v>
      </c>
    </row>
    <row r="28" spans="1:7" x14ac:dyDescent="0.25">
      <c r="E28" s="3"/>
      <c r="F28" s="3"/>
      <c r="G28" s="3"/>
    </row>
    <row r="29" spans="1:7" x14ac:dyDescent="0.25">
      <c r="A29" s="8" t="s">
        <v>143</v>
      </c>
      <c r="B29" s="9"/>
      <c r="C29" s="9"/>
      <c r="D29" s="9"/>
      <c r="E29" s="9"/>
      <c r="F29" s="9"/>
      <c r="G29" s="9"/>
    </row>
    <row r="30" spans="1:7" x14ac:dyDescent="0.25">
      <c r="A30" t="s">
        <v>16</v>
      </c>
      <c r="E30" s="3">
        <v>284.2</v>
      </c>
      <c r="F30" s="3"/>
      <c r="G30" s="5"/>
    </row>
    <row r="31" spans="1:7" x14ac:dyDescent="0.25">
      <c r="A31" t="s">
        <v>17</v>
      </c>
      <c r="E31" s="3">
        <v>459.57</v>
      </c>
      <c r="F31" s="3"/>
      <c r="G31" s="5"/>
    </row>
    <row r="32" spans="1:7" x14ac:dyDescent="0.25">
      <c r="B32" s="1" t="s">
        <v>12</v>
      </c>
      <c r="E32" s="4">
        <f>SUM(E30:E31)</f>
        <v>743.77</v>
      </c>
      <c r="F32" s="4"/>
      <c r="G32" s="4">
        <f>SUM(G30:G31)</f>
        <v>0</v>
      </c>
    </row>
    <row r="33" spans="1:7" x14ac:dyDescent="0.25">
      <c r="E33" s="3"/>
      <c r="F33" s="3"/>
      <c r="G33" s="3"/>
    </row>
    <row r="34" spans="1:7" ht="48" customHeight="1" thickBot="1" x14ac:dyDescent="0.3">
      <c r="A34" s="83" t="s">
        <v>36</v>
      </c>
      <c r="B34" s="83"/>
      <c r="C34" s="83"/>
      <c r="D34" s="26"/>
      <c r="E34" s="7">
        <f>E27-E32</f>
        <v>130.11869999999999</v>
      </c>
      <c r="F34" s="4"/>
      <c r="G34" s="7">
        <f>G27-G32</f>
        <v>1696.376</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157F8-A7AB-4942-A02A-42E2143259DD}">
  <sheetPr>
    <tabColor theme="5" tint="0.79998168889431442"/>
  </sheetPr>
  <dimension ref="A1:I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9" x14ac:dyDescent="0.25">
      <c r="E1" s="2" t="s">
        <v>34</v>
      </c>
      <c r="F1" s="2"/>
      <c r="G1" s="2" t="s">
        <v>34</v>
      </c>
    </row>
    <row r="2" spans="1:9" ht="15.75" x14ac:dyDescent="0.25">
      <c r="E2" s="21" t="s">
        <v>151</v>
      </c>
      <c r="F2" s="12"/>
      <c r="G2" s="22" t="s">
        <v>22</v>
      </c>
    </row>
    <row r="3" spans="1:9" ht="7.35" customHeight="1" x14ac:dyDescent="0.25">
      <c r="E3" s="12"/>
      <c r="F3" s="12"/>
      <c r="G3" s="12"/>
    </row>
    <row r="4" spans="1:9" x14ac:dyDescent="0.25">
      <c r="A4" s="8" t="s">
        <v>9</v>
      </c>
      <c r="B4" s="9"/>
      <c r="C4" s="9"/>
      <c r="D4" s="9"/>
      <c r="E4" s="9"/>
      <c r="F4" s="9"/>
      <c r="G4" s="9"/>
    </row>
    <row r="5" spans="1:9" x14ac:dyDescent="0.25">
      <c r="A5" t="s">
        <v>44</v>
      </c>
      <c r="E5" s="3">
        <f>Saisies!B10*Saisies!B24</f>
        <v>1412.5</v>
      </c>
      <c r="F5" s="3"/>
      <c r="G5" s="3">
        <f>IF(Saisies!C10="",Saisies!B10,Saisies!C10)*IF(Saisies!C24="",Saisies!B24,Saisies!C24)</f>
        <v>1412.5</v>
      </c>
      <c r="H5" t="str">
        <f>IF(G5="","",IF(OR(G5&gt;E5*(1+0.5),G5&lt;E5*(1-0.5)),"La valeur saisie diffère grandement des coûts utilisés dans le modèle. Assurez-vous qu'il ne s'agit pas d'une erreur de saisie",""))</f>
        <v/>
      </c>
    </row>
    <row r="6" spans="1:9" x14ac:dyDescent="0.25">
      <c r="A6" t="s">
        <v>8</v>
      </c>
      <c r="E6" s="3">
        <f>IF(ASRA_Calculs!$B$4&lt;ASRA_Calculs!$C$4,(ASRA_Calculs!$C$4-ASRA_Calculs!$B$4)*ASRA_Calculs!$D$4,0)</f>
        <v>0</v>
      </c>
      <c r="F6" s="3"/>
      <c r="G6" s="3">
        <f>IF(ASRA_Calculs!$B$4&lt;ASRA_Calculs!$C$4,(ASRA_Calculs!$C$4-ASRA_Calculs!$B$4)*ASRA_Calculs!$D$4,0)</f>
        <v>0</v>
      </c>
      <c r="H6" t="str">
        <f t="shared" ref="H6:H9" si="0">IF(G6="","",IF(OR(G6&gt;E6*(1+0.5),G6&lt;E6*(1-0.5)),"La valeur saisie diffère grandement des coûts utilisés dans le modèle. Assurez-vous qu'il ne s'agit pas d'une erreur de saisie",""))</f>
        <v/>
      </c>
    </row>
    <row r="7" spans="1:9" x14ac:dyDescent="0.25">
      <c r="A7" t="s">
        <v>14</v>
      </c>
      <c r="E7" s="3">
        <v>0</v>
      </c>
      <c r="F7" s="3"/>
      <c r="G7" s="5"/>
      <c r="H7" t="str">
        <f t="shared" si="0"/>
        <v/>
      </c>
    </row>
    <row r="8" spans="1:9" outlineLevel="1" x14ac:dyDescent="0.25">
      <c r="A8" s="30" t="s">
        <v>144</v>
      </c>
      <c r="E8" s="3">
        <f>(E5+E7-E16)*0.01</f>
        <v>11.6701</v>
      </c>
      <c r="F8" s="3"/>
      <c r="G8" s="3">
        <f>(G5-G16)*0.01</f>
        <v>14.125</v>
      </c>
    </row>
    <row r="9" spans="1:9" outlineLevel="1" x14ac:dyDescent="0.25">
      <c r="A9" s="30" t="s">
        <v>15</v>
      </c>
      <c r="E9" s="43">
        <v>241.96</v>
      </c>
      <c r="F9" s="3"/>
      <c r="G9" s="5"/>
      <c r="H9" t="str">
        <f t="shared" si="0"/>
        <v/>
      </c>
    </row>
    <row r="10" spans="1:9" x14ac:dyDescent="0.25">
      <c r="A10" s="1" t="s">
        <v>15</v>
      </c>
      <c r="E10" s="4">
        <f>SUM(E8:E9)</f>
        <v>253.6301</v>
      </c>
      <c r="F10" s="3"/>
      <c r="G10" s="42">
        <f>SUM(G8:G9)</f>
        <v>14.125</v>
      </c>
    </row>
    <row r="11" spans="1:9" x14ac:dyDescent="0.25">
      <c r="E11" s="3"/>
      <c r="F11" s="3"/>
      <c r="G11" s="3"/>
    </row>
    <row r="12" spans="1:9" x14ac:dyDescent="0.25">
      <c r="A12" s="1" t="s">
        <v>10</v>
      </c>
      <c r="E12" s="6">
        <f>SUM(E5:E7)+E10</f>
        <v>1666.1301000000001</v>
      </c>
      <c r="F12" s="4"/>
      <c r="G12" s="6">
        <f>SUM(G5:G7)+G10</f>
        <v>1426.625</v>
      </c>
    </row>
    <row r="13" spans="1:9" x14ac:dyDescent="0.25">
      <c r="E13" s="3"/>
      <c r="F13" s="3"/>
      <c r="G13" s="3"/>
    </row>
    <row r="14" spans="1:9" x14ac:dyDescent="0.25">
      <c r="E14" s="3"/>
      <c r="F14" s="3"/>
      <c r="G14" s="3"/>
    </row>
    <row r="15" spans="1:9" x14ac:dyDescent="0.25">
      <c r="A15" s="8" t="s">
        <v>139</v>
      </c>
      <c r="B15" s="9"/>
      <c r="C15" s="9"/>
      <c r="D15" s="9"/>
      <c r="E15" s="9"/>
      <c r="F15" s="9"/>
      <c r="G15" s="9"/>
      <c r="H15" s="1"/>
      <c r="I15" s="1"/>
    </row>
    <row r="16" spans="1:9" x14ac:dyDescent="0.25">
      <c r="A16" t="s">
        <v>75</v>
      </c>
      <c r="E16" s="3">
        <v>245.49</v>
      </c>
      <c r="F16" s="3"/>
      <c r="G16" s="5"/>
    </row>
    <row r="17" spans="1:7" x14ac:dyDescent="0.25">
      <c r="A17" t="s">
        <v>135</v>
      </c>
      <c r="E17" s="3">
        <v>64.91</v>
      </c>
      <c r="F17" s="3"/>
      <c r="G17" s="5"/>
    </row>
    <row r="18" spans="1:7" x14ac:dyDescent="0.25">
      <c r="A18" t="s">
        <v>11</v>
      </c>
      <c r="D18">
        <f>14.87/2.5</f>
        <v>5.9479999999999995</v>
      </c>
      <c r="E18" s="3">
        <v>14.87</v>
      </c>
      <c r="F18" s="3"/>
      <c r="G18" s="5"/>
    </row>
    <row r="19" spans="1:7" x14ac:dyDescent="0.25">
      <c r="A19" t="s">
        <v>136</v>
      </c>
      <c r="E19" s="3">
        <v>323.33</v>
      </c>
      <c r="F19" s="3"/>
      <c r="G19" s="5"/>
    </row>
    <row r="20" spans="1:7" x14ac:dyDescent="0.25">
      <c r="A20" t="s">
        <v>137</v>
      </c>
      <c r="E20" s="3">
        <v>204.14</v>
      </c>
      <c r="F20" s="3"/>
      <c r="G20" s="5"/>
    </row>
    <row r="21" spans="1:7" x14ac:dyDescent="0.25">
      <c r="A21" t="s">
        <v>138</v>
      </c>
      <c r="D21">
        <f>122.32/2.5</f>
        <v>48.927999999999997</v>
      </c>
      <c r="E21" s="3">
        <v>122.32</v>
      </c>
      <c r="F21" s="3"/>
      <c r="G21" s="5"/>
    </row>
    <row r="22" spans="1:7" x14ac:dyDescent="0.25">
      <c r="A22" t="s">
        <v>141</v>
      </c>
      <c r="E22" s="3">
        <v>54.75</v>
      </c>
      <c r="F22" s="3"/>
      <c r="G22" s="5"/>
    </row>
    <row r="23" spans="1:7" x14ac:dyDescent="0.25">
      <c r="A23" t="s">
        <v>142</v>
      </c>
      <c r="E23" s="3">
        <v>100.27</v>
      </c>
      <c r="F23" s="3"/>
      <c r="G23" s="5"/>
    </row>
    <row r="24" spans="1:7" x14ac:dyDescent="0.25">
      <c r="A24" t="s">
        <v>13</v>
      </c>
      <c r="E24" s="3">
        <v>117.74</v>
      </c>
      <c r="F24" s="3"/>
      <c r="G24" s="5"/>
    </row>
    <row r="25" spans="1:7" x14ac:dyDescent="0.25">
      <c r="B25" s="1" t="s">
        <v>12</v>
      </c>
      <c r="E25" s="6">
        <f>SUM(E16:E24)</f>
        <v>1247.82</v>
      </c>
      <c r="F25" s="4"/>
      <c r="G25" s="6">
        <f>SUM(G16:G24)</f>
        <v>0</v>
      </c>
    </row>
    <row r="26" spans="1:7" x14ac:dyDescent="0.25">
      <c r="E26" s="3"/>
      <c r="F26" s="3"/>
      <c r="G26" s="3"/>
    </row>
    <row r="27" spans="1:7" ht="28.35" customHeight="1" x14ac:dyDescent="0.25">
      <c r="A27" s="83" t="s">
        <v>35</v>
      </c>
      <c r="B27" s="83"/>
      <c r="C27" s="83"/>
      <c r="D27" s="26"/>
      <c r="E27" s="6">
        <f>E12-E25</f>
        <v>418.31010000000015</v>
      </c>
      <c r="F27" s="4"/>
      <c r="G27" s="6">
        <f>G12-G25</f>
        <v>1426.625</v>
      </c>
    </row>
    <row r="28" spans="1:7" x14ac:dyDescent="0.25">
      <c r="E28" s="3"/>
      <c r="F28" s="3"/>
      <c r="G28" s="3"/>
    </row>
    <row r="29" spans="1:7" x14ac:dyDescent="0.25">
      <c r="A29" s="8" t="s">
        <v>143</v>
      </c>
      <c r="B29" s="9"/>
      <c r="C29" s="9"/>
      <c r="D29" s="9"/>
      <c r="E29" s="9"/>
      <c r="F29" s="9"/>
      <c r="G29" s="9"/>
    </row>
    <row r="30" spans="1:7" x14ac:dyDescent="0.25">
      <c r="A30" t="s">
        <v>16</v>
      </c>
      <c r="E30" s="3">
        <v>229.13</v>
      </c>
      <c r="F30" s="3"/>
      <c r="G30" s="5"/>
    </row>
    <row r="31" spans="1:7" x14ac:dyDescent="0.25">
      <c r="A31" t="s">
        <v>17</v>
      </c>
      <c r="E31" s="3">
        <v>385.78</v>
      </c>
      <c r="F31" s="3"/>
      <c r="G31" s="5"/>
    </row>
    <row r="32" spans="1:7" x14ac:dyDescent="0.25">
      <c r="B32" s="1" t="s">
        <v>12</v>
      </c>
      <c r="E32" s="4">
        <f>SUM(E30:E31)</f>
        <v>614.91</v>
      </c>
      <c r="F32" s="4"/>
      <c r="G32" s="4">
        <f>SUM(G30:G31)</f>
        <v>0</v>
      </c>
    </row>
    <row r="33" spans="1:7" x14ac:dyDescent="0.25">
      <c r="E33" s="3"/>
      <c r="F33" s="3"/>
      <c r="G33" s="3"/>
    </row>
    <row r="34" spans="1:7" ht="48" customHeight="1" thickBot="1" x14ac:dyDescent="0.3">
      <c r="A34" s="83" t="s">
        <v>36</v>
      </c>
      <c r="B34" s="83"/>
      <c r="C34" s="83"/>
      <c r="D34" s="26"/>
      <c r="E34" s="7">
        <f>E27-E32</f>
        <v>-196.59989999999982</v>
      </c>
      <c r="F34" s="4"/>
      <c r="G34" s="7">
        <f>G27-G32</f>
        <v>1426.625</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C5476-AF30-4A6E-AF62-873AD2B2FB76}">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34</v>
      </c>
      <c r="F1" s="2"/>
      <c r="G1" s="2" t="s">
        <v>34</v>
      </c>
    </row>
    <row r="2" spans="1:8" ht="15.75" x14ac:dyDescent="0.25">
      <c r="E2" s="21" t="s">
        <v>151</v>
      </c>
      <c r="F2" s="12"/>
      <c r="G2" s="22" t="s">
        <v>22</v>
      </c>
    </row>
    <row r="3" spans="1:8" ht="7.35" customHeight="1" x14ac:dyDescent="0.25">
      <c r="E3" s="12"/>
      <c r="F3" s="12"/>
      <c r="G3" s="12"/>
    </row>
    <row r="4" spans="1:8" x14ac:dyDescent="0.25">
      <c r="A4" s="8" t="s">
        <v>9</v>
      </c>
      <c r="B4" s="9"/>
      <c r="C4" s="9"/>
      <c r="D4" s="9"/>
      <c r="E4" s="9"/>
      <c r="F4" s="9"/>
      <c r="G4" s="9"/>
    </row>
    <row r="5" spans="1:8" x14ac:dyDescent="0.25">
      <c r="A5" t="s">
        <v>44</v>
      </c>
      <c r="E5" s="3">
        <f>Saisies!B11*Saisies!B25</f>
        <v>957.00000000000011</v>
      </c>
      <c r="F5" s="3"/>
      <c r="G5" s="3">
        <f>IF(Saisies!C11="",Saisies!B11,Saisies!C11)*IF(Saisies!C25="",Saisies!B25,Saisies!C25)</f>
        <v>957.00000000000011</v>
      </c>
      <c r="H5" t="str">
        <f>IF(G5="","",IF(OR(G5&gt;E5*(1+0.5),G5&lt;E5*(1-0.5)),"La valeur saisie diffère grandement des coûts utilisés dans le modèle. Assurez-vous qu'il ne s'agit pas d'une erreur de saisie",""))</f>
        <v/>
      </c>
    </row>
    <row r="6" spans="1:8" x14ac:dyDescent="0.25">
      <c r="A6" t="s">
        <v>8</v>
      </c>
      <c r="E6" s="3">
        <f>IF(ASRA_Calculs!$B$5&lt;ASRA_Calculs!$C$5,(ASRA_Calculs!$C$5-ASRA_Calculs!$B$5)*ASRA_Calculs!$D$5,0)</f>
        <v>0</v>
      </c>
      <c r="F6" s="3"/>
      <c r="G6" s="3">
        <f>IF(ASRA_Calculs!$B$5&lt;ASRA_Calculs!$C$5,(ASRA_Calculs!$C$5-ASRA_Calculs!$B$5)*ASRA_Calculs!$D$5,0)</f>
        <v>0</v>
      </c>
      <c r="H6" t="str">
        <f t="shared" ref="H6:H9" si="0">IF(G6="","",IF(OR(G6&gt;E6*(1+0.5),G6&lt;E6*(1-0.5)),"La valeur saisie diffère grandement des coûts utilisés dans le modèle. Assurez-vous qu'il ne s'agit pas d'une erreur de saisie",""))</f>
        <v/>
      </c>
    </row>
    <row r="7" spans="1:8" x14ac:dyDescent="0.25">
      <c r="A7" t="s">
        <v>14</v>
      </c>
      <c r="E7" s="3">
        <v>0</v>
      </c>
      <c r="F7" s="3"/>
      <c r="G7" s="5"/>
      <c r="H7" t="str">
        <f t="shared" si="0"/>
        <v/>
      </c>
    </row>
    <row r="8" spans="1:8" outlineLevel="1" x14ac:dyDescent="0.25">
      <c r="A8" s="30" t="s">
        <v>144</v>
      </c>
      <c r="E8" s="3">
        <f>(E5+E7-E16)*0.01</f>
        <v>8.0924000000000014</v>
      </c>
      <c r="F8" s="3"/>
      <c r="G8" s="3">
        <f>(G5-G16)*0.01</f>
        <v>9.5700000000000021</v>
      </c>
    </row>
    <row r="9" spans="1:8" outlineLevel="1" x14ac:dyDescent="0.25">
      <c r="A9" s="30" t="s">
        <v>15</v>
      </c>
      <c r="E9" s="43">
        <v>132.27000000000001</v>
      </c>
      <c r="F9" s="3"/>
      <c r="G9" s="5"/>
      <c r="H9" t="str">
        <f t="shared" si="0"/>
        <v/>
      </c>
    </row>
    <row r="10" spans="1:8" x14ac:dyDescent="0.25">
      <c r="A10" s="1" t="s">
        <v>15</v>
      </c>
      <c r="E10" s="4">
        <f>SUM(E8:E9)</f>
        <v>140.36240000000001</v>
      </c>
      <c r="F10" s="3"/>
      <c r="G10" s="42">
        <f>SUM(G8:G9)</f>
        <v>9.5700000000000021</v>
      </c>
    </row>
    <row r="11" spans="1:8" x14ac:dyDescent="0.25">
      <c r="E11" s="3"/>
      <c r="F11" s="3"/>
      <c r="G11" s="3"/>
    </row>
    <row r="12" spans="1:8" x14ac:dyDescent="0.25">
      <c r="A12" s="1" t="s">
        <v>10</v>
      </c>
      <c r="E12" s="6">
        <f>SUM(E5:E7)+E10</f>
        <v>1097.3624000000002</v>
      </c>
      <c r="F12" s="4"/>
      <c r="G12" s="6">
        <f>SUM(G5:G7)+G10</f>
        <v>966.57000000000016</v>
      </c>
    </row>
    <row r="13" spans="1:8" x14ac:dyDescent="0.25">
      <c r="E13" s="3"/>
      <c r="F13" s="3"/>
      <c r="G13" s="3"/>
    </row>
    <row r="14" spans="1:8" x14ac:dyDescent="0.25">
      <c r="E14" s="3"/>
      <c r="F14" s="3"/>
      <c r="G14" s="3"/>
    </row>
    <row r="15" spans="1:8" x14ac:dyDescent="0.25">
      <c r="A15" s="8" t="s">
        <v>139</v>
      </c>
      <c r="B15" s="9"/>
      <c r="C15" s="9"/>
      <c r="D15" s="9"/>
      <c r="E15" s="9"/>
      <c r="F15" s="9"/>
      <c r="G15" s="9"/>
    </row>
    <row r="16" spans="1:8" x14ac:dyDescent="0.25">
      <c r="A16" t="s">
        <v>75</v>
      </c>
      <c r="E16" s="3">
        <v>147.76</v>
      </c>
      <c r="F16" s="3"/>
      <c r="G16" s="5"/>
      <c r="H16" t="str">
        <f t="shared" ref="H16:H24" si="1">IF(G16="","",IF(OR(G16&gt;E16*(1+0.5),G16&lt;E16*(1-0.5)),"La valeur saisie diffère grandement des coûts utilisés dans le modèle. Assurez-vous qu'il ne s'agit pas d'une erreur de saisie",""))</f>
        <v/>
      </c>
    </row>
    <row r="17" spans="1:8" x14ac:dyDescent="0.25">
      <c r="A17" t="s">
        <v>135</v>
      </c>
      <c r="E17" s="3">
        <v>64.569999999999993</v>
      </c>
      <c r="F17" s="3"/>
      <c r="G17" s="5"/>
      <c r="H17" t="str">
        <f t="shared" si="1"/>
        <v/>
      </c>
    </row>
    <row r="18" spans="1:8" x14ac:dyDescent="0.25">
      <c r="A18" t="s">
        <v>11</v>
      </c>
      <c r="D18">
        <f>44.99/2.2</f>
        <v>20.45</v>
      </c>
      <c r="E18" s="3">
        <v>44.99</v>
      </c>
      <c r="F18" s="3"/>
      <c r="G18" s="5"/>
    </row>
    <row r="19" spans="1:8" x14ac:dyDescent="0.25">
      <c r="A19" t="s">
        <v>136</v>
      </c>
      <c r="E19" s="3">
        <v>272.22000000000003</v>
      </c>
      <c r="F19" s="3"/>
      <c r="G19" s="5"/>
    </row>
    <row r="20" spans="1:8" x14ac:dyDescent="0.25">
      <c r="A20" t="s">
        <v>137</v>
      </c>
      <c r="E20" s="3">
        <v>163.11000000000001</v>
      </c>
      <c r="F20" s="3"/>
      <c r="G20" s="5"/>
    </row>
    <row r="21" spans="1:8" x14ac:dyDescent="0.25">
      <c r="A21" t="s">
        <v>138</v>
      </c>
      <c r="D21">
        <f>119.16/2.2</f>
        <v>54.163636363636357</v>
      </c>
      <c r="E21" s="3">
        <v>119.16</v>
      </c>
      <c r="F21" s="3"/>
      <c r="G21" s="5"/>
      <c r="H21" t="str">
        <f t="shared" si="1"/>
        <v/>
      </c>
    </row>
    <row r="22" spans="1:8" x14ac:dyDescent="0.25">
      <c r="A22" t="s">
        <v>141</v>
      </c>
      <c r="E22" s="3">
        <v>61.46</v>
      </c>
      <c r="F22" s="3"/>
      <c r="G22" s="5"/>
      <c r="H22" t="str">
        <f t="shared" si="1"/>
        <v/>
      </c>
    </row>
    <row r="23" spans="1:8" x14ac:dyDescent="0.25">
      <c r="A23" t="s">
        <v>142</v>
      </c>
      <c r="E23" s="3">
        <v>85.41</v>
      </c>
      <c r="F23" s="3"/>
      <c r="G23" s="5"/>
      <c r="H23" t="str">
        <f t="shared" si="1"/>
        <v/>
      </c>
    </row>
    <row r="24" spans="1:8" x14ac:dyDescent="0.25">
      <c r="A24" t="s">
        <v>13</v>
      </c>
      <c r="E24" s="3">
        <v>194.85</v>
      </c>
      <c r="F24" s="3"/>
      <c r="G24" s="5"/>
      <c r="H24" t="str">
        <f t="shared" si="1"/>
        <v/>
      </c>
    </row>
    <row r="25" spans="1:8" x14ac:dyDescent="0.25">
      <c r="B25" s="1" t="s">
        <v>12</v>
      </c>
      <c r="E25" s="6">
        <f>SUM(E16:E24)</f>
        <v>1153.53</v>
      </c>
      <c r="F25" s="4"/>
      <c r="G25" s="6">
        <f>SUM(G16:G24)</f>
        <v>0</v>
      </c>
    </row>
    <row r="26" spans="1:8" x14ac:dyDescent="0.25">
      <c r="E26" s="3"/>
      <c r="F26" s="3"/>
      <c r="G26" s="3"/>
    </row>
    <row r="27" spans="1:8" ht="28.35" customHeight="1" x14ac:dyDescent="0.25">
      <c r="A27" s="83" t="s">
        <v>35</v>
      </c>
      <c r="B27" s="83"/>
      <c r="C27" s="83"/>
      <c r="D27" s="26"/>
      <c r="E27" s="6">
        <f>E12-E25</f>
        <v>-56.167599999999766</v>
      </c>
      <c r="F27" s="4"/>
      <c r="G27" s="6">
        <f>G12-G25</f>
        <v>966.57000000000016</v>
      </c>
    </row>
    <row r="28" spans="1:8" x14ac:dyDescent="0.25">
      <c r="E28" s="3"/>
      <c r="F28" s="3"/>
      <c r="G28" s="3"/>
    </row>
    <row r="29" spans="1:8" x14ac:dyDescent="0.25">
      <c r="A29" s="8" t="s">
        <v>143</v>
      </c>
      <c r="B29" s="9"/>
      <c r="C29" s="9"/>
      <c r="D29" s="9"/>
      <c r="E29" s="9"/>
      <c r="F29" s="9"/>
      <c r="G29" s="9"/>
    </row>
    <row r="30" spans="1:8" x14ac:dyDescent="0.25">
      <c r="A30" t="s">
        <v>16</v>
      </c>
      <c r="E30" s="3">
        <v>170.27</v>
      </c>
      <c r="F30" s="3"/>
      <c r="G30" s="5"/>
      <c r="H30" t="str">
        <f t="shared" ref="H30:H31" si="2">IF(G30="","",IF(OR(G30&gt;E30*(1+0.5),G30&lt;E30*(1-0.5)),"La valeur saisie diffère grandement des coûts utilisés dans le modèle. Assurez-vous qu'il ne s'agit pas d'une erreur de saisie",""))</f>
        <v/>
      </c>
    </row>
    <row r="31" spans="1:8" x14ac:dyDescent="0.25">
      <c r="A31" t="s">
        <v>17</v>
      </c>
      <c r="E31" s="3">
        <v>346.94</v>
      </c>
      <c r="F31" s="3"/>
      <c r="G31" s="5"/>
      <c r="H31" t="str">
        <f t="shared" si="2"/>
        <v/>
      </c>
    </row>
    <row r="32" spans="1:8" x14ac:dyDescent="0.25">
      <c r="B32" s="1" t="s">
        <v>12</v>
      </c>
      <c r="E32" s="4">
        <f>SUM(E30:E31)</f>
        <v>517.21</v>
      </c>
      <c r="F32" s="4"/>
      <c r="G32" s="4">
        <f>SUM(G30:G31)</f>
        <v>0</v>
      </c>
    </row>
    <row r="33" spans="1:7" x14ac:dyDescent="0.25">
      <c r="E33" s="3"/>
      <c r="F33" s="3"/>
      <c r="G33" s="3"/>
    </row>
    <row r="34" spans="1:7" ht="48" customHeight="1" thickBot="1" x14ac:dyDescent="0.3">
      <c r="A34" s="83" t="s">
        <v>36</v>
      </c>
      <c r="B34" s="83"/>
      <c r="C34" s="83"/>
      <c r="D34" s="26"/>
      <c r="E34" s="7">
        <f>E27-E32</f>
        <v>-573.3775999999998</v>
      </c>
      <c r="F34" s="4"/>
      <c r="G34" s="7">
        <f>G27-G32</f>
        <v>966.57000000000016</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FE905-A9F2-4332-B11D-7BA73925578D}">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34</v>
      </c>
      <c r="F1" s="2"/>
      <c r="G1" s="2" t="s">
        <v>34</v>
      </c>
    </row>
    <row r="2" spans="1:8" ht="15.75" x14ac:dyDescent="0.25">
      <c r="E2" s="21" t="s">
        <v>151</v>
      </c>
      <c r="F2" s="12"/>
      <c r="G2" s="22" t="s">
        <v>22</v>
      </c>
    </row>
    <row r="3" spans="1:8" ht="7.35" customHeight="1" x14ac:dyDescent="0.25">
      <c r="E3" s="12"/>
      <c r="F3" s="12"/>
      <c r="G3" s="12"/>
    </row>
    <row r="4" spans="1:8" x14ac:dyDescent="0.25">
      <c r="A4" s="8" t="s">
        <v>9</v>
      </c>
      <c r="B4" s="9"/>
      <c r="C4" s="9"/>
      <c r="D4" s="9"/>
      <c r="E4" s="9"/>
      <c r="F4" s="9"/>
      <c r="G4" s="9"/>
    </row>
    <row r="5" spans="1:8" x14ac:dyDescent="0.25">
      <c r="A5" t="s">
        <v>44</v>
      </c>
      <c r="E5" s="3">
        <f>Saisies!B13*Saisies!B27</f>
        <v>1994.2999999999997</v>
      </c>
      <c r="F5" s="3"/>
      <c r="G5" s="3">
        <f>IF(Saisies!C13="",Saisies!B13,Saisies!C13)*IF(Saisies!C27="",Saisies!B27,Saisies!C27)</f>
        <v>1994.2999999999997</v>
      </c>
      <c r="H5" t="str">
        <f>IF(G5="","",IF(OR(G5&gt;E5*(1+0.5),G5&lt;E5*(1-0.5)),"La valeur saisie diffère grandement des coûts utilisés dans le modèle. Assurez-vous qu'il ne s'agit pas d'une erreur de saisie",""))</f>
        <v/>
      </c>
    </row>
    <row r="6" spans="1:8" x14ac:dyDescent="0.25">
      <c r="A6" t="s">
        <v>8</v>
      </c>
      <c r="E6" s="3">
        <f>IF(ASRA_Calculs!$B$6&lt;ASRA_Calculs!$C$6,(ASRA_Calculs!$C$6-ASRA_Calculs!$B$6)*ASRA_Calculs!$D$6,0)</f>
        <v>0</v>
      </c>
      <c r="F6" s="3"/>
      <c r="G6" s="3">
        <f>IF(ASRA_Calculs!$B$6&lt;ASRA_Calculs!$C$6,(ASRA_Calculs!$C$6-ASRA_Calculs!$B$6)*ASRA_Calculs!$D$6,0)</f>
        <v>0</v>
      </c>
      <c r="H6" t="str">
        <f t="shared" ref="H6:H9" si="0">IF(G6="","",IF(OR(G6&gt;E6*(1+0.5),G6&lt;E6*(1-0.5)),"La valeur saisie diffère grandement des coûts utilisés dans le modèle. Assurez-vous qu'il ne s'agit pas d'une erreur de saisie",""))</f>
        <v/>
      </c>
    </row>
    <row r="7" spans="1:8" x14ac:dyDescent="0.25">
      <c r="A7" t="s">
        <v>14</v>
      </c>
      <c r="E7" s="3">
        <v>0</v>
      </c>
      <c r="F7" s="3"/>
      <c r="G7" s="5"/>
      <c r="H7" t="str">
        <f t="shared" si="0"/>
        <v/>
      </c>
    </row>
    <row r="8" spans="1:8" outlineLevel="1" x14ac:dyDescent="0.25">
      <c r="A8" s="30" t="s">
        <v>144</v>
      </c>
      <c r="E8" s="3">
        <f>(E5+E7-E16)*0.01</f>
        <v>17.786608999999999</v>
      </c>
      <c r="F8" s="3"/>
      <c r="G8" s="3">
        <f>(G5-G16)*0.01</f>
        <v>19.942999999999998</v>
      </c>
    </row>
    <row r="9" spans="1:8" outlineLevel="1" x14ac:dyDescent="0.25">
      <c r="A9" s="30" t="s">
        <v>15</v>
      </c>
      <c r="E9" s="43">
        <v>85.99</v>
      </c>
      <c r="F9" s="3"/>
      <c r="G9" s="5"/>
      <c r="H9" t="str">
        <f t="shared" si="0"/>
        <v/>
      </c>
    </row>
    <row r="10" spans="1:8" x14ac:dyDescent="0.25">
      <c r="A10" s="1" t="s">
        <v>15</v>
      </c>
      <c r="E10" s="4">
        <f>SUM(E8:E9)</f>
        <v>103.77660899999999</v>
      </c>
      <c r="F10" s="3"/>
      <c r="G10" s="42">
        <f>SUM(G8:G9)</f>
        <v>19.942999999999998</v>
      </c>
    </row>
    <row r="11" spans="1:8" x14ac:dyDescent="0.25">
      <c r="E11" s="3"/>
      <c r="F11" s="3"/>
      <c r="G11" s="3"/>
    </row>
    <row r="12" spans="1:8" x14ac:dyDescent="0.25">
      <c r="A12" s="1" t="s">
        <v>10</v>
      </c>
      <c r="E12" s="6">
        <f>SUM(E5:E7)+E10</f>
        <v>2098.0766089999997</v>
      </c>
      <c r="F12" s="4"/>
      <c r="G12" s="6">
        <f>SUM(G5:G7)+G10</f>
        <v>2014.2429999999997</v>
      </c>
    </row>
    <row r="13" spans="1:8" x14ac:dyDescent="0.25">
      <c r="E13" s="3"/>
      <c r="F13" s="3"/>
      <c r="G13" s="3"/>
    </row>
    <row r="14" spans="1:8" x14ac:dyDescent="0.25">
      <c r="E14" s="3"/>
      <c r="F14" s="3"/>
      <c r="G14" s="3"/>
    </row>
    <row r="15" spans="1:8" x14ac:dyDescent="0.25">
      <c r="A15" s="8" t="s">
        <v>139</v>
      </c>
      <c r="B15" s="9"/>
      <c r="C15" s="9"/>
      <c r="D15" s="9"/>
      <c r="E15" s="9"/>
      <c r="F15" s="9"/>
      <c r="G15" s="9"/>
    </row>
    <row r="16" spans="1:8" x14ac:dyDescent="0.25">
      <c r="A16" t="s">
        <v>75</v>
      </c>
      <c r="E16" s="3">
        <f>231.87*(1-0.07)</f>
        <v>215.63909999999998</v>
      </c>
      <c r="F16" s="3"/>
      <c r="G16" s="5"/>
      <c r="H16" t="str">
        <f t="shared" ref="H16:H24" si="1">IF(G16="","",IF(OR(G16&gt;E16*(1+0.5),G16&lt;E16*(1-0.5)),"La valeur saisie diffère grandement des coûts utilisés dans le modèle. Assurez-vous qu'il ne s'agit pas d'une erreur de saisie",""))</f>
        <v/>
      </c>
    </row>
    <row r="17" spans="1:8" x14ac:dyDescent="0.25">
      <c r="A17" t="s">
        <v>135</v>
      </c>
      <c r="E17" s="3">
        <v>86.56</v>
      </c>
      <c r="F17" s="3"/>
      <c r="G17" s="5"/>
      <c r="H17" t="str">
        <f t="shared" si="1"/>
        <v/>
      </c>
    </row>
    <row r="18" spans="1:8" x14ac:dyDescent="0.25">
      <c r="A18" t="s">
        <v>11</v>
      </c>
      <c r="D18">
        <f>23.28/3.5</f>
        <v>6.6514285714285721</v>
      </c>
      <c r="E18" s="3">
        <v>23.28</v>
      </c>
      <c r="F18" s="3"/>
      <c r="G18" s="5"/>
    </row>
    <row r="19" spans="1:8" x14ac:dyDescent="0.25">
      <c r="A19" t="s">
        <v>136</v>
      </c>
      <c r="E19" s="3">
        <v>103.24</v>
      </c>
      <c r="F19" s="3"/>
      <c r="G19" s="5"/>
    </row>
    <row r="20" spans="1:8" x14ac:dyDescent="0.25">
      <c r="A20" t="s">
        <v>137</v>
      </c>
      <c r="E20" s="3">
        <v>213.57</v>
      </c>
      <c r="F20" s="3"/>
      <c r="G20" s="5"/>
    </row>
    <row r="21" spans="1:8" x14ac:dyDescent="0.25">
      <c r="A21" t="s">
        <v>138</v>
      </c>
      <c r="D21">
        <f>139.03/3.5</f>
        <v>39.722857142857144</v>
      </c>
      <c r="E21" s="3">
        <v>139.03</v>
      </c>
      <c r="F21" s="3"/>
      <c r="G21" s="5"/>
      <c r="H21" t="str">
        <f t="shared" si="1"/>
        <v/>
      </c>
    </row>
    <row r="22" spans="1:8" x14ac:dyDescent="0.25">
      <c r="A22" t="s">
        <v>141</v>
      </c>
      <c r="E22" s="3">
        <v>88.19</v>
      </c>
      <c r="F22" s="3"/>
      <c r="G22" s="5"/>
      <c r="H22" t="str">
        <f t="shared" si="1"/>
        <v/>
      </c>
    </row>
    <row r="23" spans="1:8" x14ac:dyDescent="0.25">
      <c r="A23" t="s">
        <v>142</v>
      </c>
      <c r="E23" s="3">
        <v>95.61</v>
      </c>
      <c r="F23" s="3"/>
      <c r="G23" s="5"/>
      <c r="H23" t="str">
        <f t="shared" si="1"/>
        <v/>
      </c>
    </row>
    <row r="24" spans="1:8" x14ac:dyDescent="0.25">
      <c r="A24" t="s">
        <v>13</v>
      </c>
      <c r="E24" s="3">
        <v>141.16</v>
      </c>
      <c r="F24" s="3"/>
      <c r="G24" s="5"/>
      <c r="H24" t="str">
        <f t="shared" si="1"/>
        <v/>
      </c>
    </row>
    <row r="25" spans="1:8" x14ac:dyDescent="0.25">
      <c r="B25" s="1" t="s">
        <v>12</v>
      </c>
      <c r="E25" s="6">
        <f>SUM(E16:E24)</f>
        <v>1106.2791</v>
      </c>
      <c r="F25" s="4"/>
      <c r="G25" s="6">
        <f>SUM(G16:G24)</f>
        <v>0</v>
      </c>
    </row>
    <row r="26" spans="1:8" x14ac:dyDescent="0.25">
      <c r="E26" s="3"/>
      <c r="F26" s="3"/>
      <c r="G26" s="3"/>
    </row>
    <row r="27" spans="1:8" ht="28.35" customHeight="1" x14ac:dyDescent="0.25">
      <c r="A27" s="83" t="s">
        <v>35</v>
      </c>
      <c r="B27" s="83"/>
      <c r="C27" s="83"/>
      <c r="D27" s="26"/>
      <c r="E27" s="6">
        <f>E12-E25</f>
        <v>991.79750899999976</v>
      </c>
      <c r="F27" s="4"/>
      <c r="G27" s="6">
        <f>G12-G25</f>
        <v>2014.2429999999997</v>
      </c>
    </row>
    <row r="28" spans="1:8" x14ac:dyDescent="0.25">
      <c r="E28" s="3"/>
      <c r="F28" s="3"/>
      <c r="G28" s="3"/>
    </row>
    <row r="29" spans="1:8" x14ac:dyDescent="0.25">
      <c r="A29" s="8" t="s">
        <v>143</v>
      </c>
      <c r="B29" s="9"/>
      <c r="C29" s="9"/>
      <c r="D29" s="9"/>
      <c r="E29" s="9"/>
      <c r="F29" s="9"/>
      <c r="G29" s="9"/>
    </row>
    <row r="30" spans="1:8" x14ac:dyDescent="0.25">
      <c r="A30" t="s">
        <v>16</v>
      </c>
      <c r="E30" s="3">
        <v>256.24</v>
      </c>
      <c r="F30" s="3"/>
      <c r="G30" s="5"/>
      <c r="H30" t="str">
        <f t="shared" ref="H30:H31" si="2">IF(G30="","",IF(OR(G30&gt;E30*(1+0.5),G30&lt;E30*(1-0.5)),"La valeur saisie diffère grandement des coûts utilisés dans le modèle. Assurez-vous qu'il ne s'agit pas d'une erreur de saisie",""))</f>
        <v/>
      </c>
    </row>
    <row r="31" spans="1:8" x14ac:dyDescent="0.25">
      <c r="A31" t="s">
        <v>17</v>
      </c>
      <c r="E31" s="3">
        <v>356.22</v>
      </c>
      <c r="F31" s="3"/>
      <c r="G31" s="5"/>
      <c r="H31" t="str">
        <f t="shared" si="2"/>
        <v/>
      </c>
    </row>
    <row r="32" spans="1:8" x14ac:dyDescent="0.25">
      <c r="B32" s="1" t="s">
        <v>12</v>
      </c>
      <c r="E32" s="4">
        <f>SUM(E30:E31)</f>
        <v>612.46</v>
      </c>
      <c r="F32" s="4"/>
      <c r="G32" s="4">
        <f>SUM(G30:G31)</f>
        <v>0</v>
      </c>
    </row>
    <row r="33" spans="1:7" x14ac:dyDescent="0.25">
      <c r="E33" s="3"/>
      <c r="F33" s="3"/>
      <c r="G33" s="3"/>
    </row>
    <row r="34" spans="1:7" ht="48" customHeight="1" thickBot="1" x14ac:dyDescent="0.3">
      <c r="A34" s="83" t="s">
        <v>36</v>
      </c>
      <c r="B34" s="83"/>
      <c r="C34" s="83"/>
      <c r="D34" s="26"/>
      <c r="E34" s="7">
        <f>E27-E32</f>
        <v>379.33750899999973</v>
      </c>
      <c r="F34" s="4"/>
      <c r="G34" s="7">
        <f>G27-G32</f>
        <v>2014.2429999999997</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287C2-DCCC-415C-A883-2E306CD8D4CE}">
  <sheetPr>
    <tabColor theme="5" tint="0.79998168889431442"/>
  </sheetPr>
  <dimension ref="A1:I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9" x14ac:dyDescent="0.25">
      <c r="E1" s="2" t="s">
        <v>34</v>
      </c>
      <c r="F1" s="2"/>
      <c r="G1" s="2" t="s">
        <v>34</v>
      </c>
    </row>
    <row r="2" spans="1:9" ht="15.75" x14ac:dyDescent="0.25">
      <c r="E2" s="21" t="s">
        <v>151</v>
      </c>
      <c r="F2" s="12"/>
      <c r="G2" s="22" t="s">
        <v>22</v>
      </c>
    </row>
    <row r="3" spans="1:9" ht="7.35" customHeight="1" x14ac:dyDescent="0.25">
      <c r="E3" s="12"/>
      <c r="F3" s="12"/>
      <c r="G3" s="12"/>
    </row>
    <row r="4" spans="1:9" x14ac:dyDescent="0.25">
      <c r="A4" s="8" t="s">
        <v>9</v>
      </c>
      <c r="B4" s="9"/>
      <c r="C4" s="9"/>
      <c r="D4" s="9"/>
      <c r="E4" s="9"/>
      <c r="F4" s="9"/>
      <c r="G4" s="9"/>
    </row>
    <row r="5" spans="1:9" x14ac:dyDescent="0.25">
      <c r="A5" t="s">
        <v>44</v>
      </c>
      <c r="E5" s="3">
        <f>Saisies!B12*Saisies!B26</f>
        <v>1595.4399999999998</v>
      </c>
      <c r="F5" s="3"/>
      <c r="G5" s="3">
        <f>IF(Saisies!C12="",Saisies!B12,Saisies!C12)*IF(Saisies!C26="",Saisies!B26,Saisies!C26)</f>
        <v>1595.4399999999998</v>
      </c>
      <c r="H5" t="str">
        <f>IF(G5="","",IF(OR(G5&gt;E5*(1+0.5),G5&lt;E5*(1-0.5)),"La valeur saisie diffère grandement des coûts utilisés dans le modèle. Assurez-vous qu'il ne s'agit pas d'une erreur de saisie",""))</f>
        <v/>
      </c>
    </row>
    <row r="6" spans="1:9" x14ac:dyDescent="0.25">
      <c r="A6" t="s">
        <v>8</v>
      </c>
      <c r="E6" s="3">
        <f>IF(ASRA_Calculs!$B$6&lt;ASRA_Calculs!$C$6,(ASRA_Calculs!$C$6-ASRA_Calculs!$B$6)*ASRA_Calculs!$D$6,0)</f>
        <v>0</v>
      </c>
      <c r="F6" s="3"/>
      <c r="G6" s="3">
        <f>IF(ASRA_Calculs!$B$6&lt;ASRA_Calculs!$C$6,(ASRA_Calculs!$C$6-ASRA_Calculs!$B$6)*ASRA_Calculs!$D$6,0)</f>
        <v>0</v>
      </c>
      <c r="H6" t="str">
        <f t="shared" ref="H6:H9" si="0">IF(G6="","",IF(OR(G6&gt;E6*(1+0.5),G6&lt;E6*(1-0.5)),"La valeur saisie diffère grandement des coûts utilisés dans le modèle. Assurez-vous qu'il ne s'agit pas d'une erreur de saisie",""))</f>
        <v/>
      </c>
    </row>
    <row r="7" spans="1:9" x14ac:dyDescent="0.25">
      <c r="A7" t="s">
        <v>14</v>
      </c>
      <c r="E7" s="3">
        <v>0</v>
      </c>
      <c r="F7" s="3"/>
      <c r="G7" s="5"/>
      <c r="H7" t="str">
        <f t="shared" si="0"/>
        <v/>
      </c>
    </row>
    <row r="8" spans="1:9" outlineLevel="1" x14ac:dyDescent="0.25">
      <c r="A8" s="30" t="s">
        <v>144</v>
      </c>
      <c r="E8" s="3">
        <f>(E5+E7-E16)*0.01</f>
        <v>13.635699999999998</v>
      </c>
      <c r="F8" s="3"/>
      <c r="G8" s="3">
        <f>(G5-G16)*0.01</f>
        <v>15.954399999999998</v>
      </c>
    </row>
    <row r="9" spans="1:9" outlineLevel="1" x14ac:dyDescent="0.25">
      <c r="A9" s="30" t="s">
        <v>15</v>
      </c>
      <c r="E9" s="43">
        <v>90.14</v>
      </c>
      <c r="F9" s="3"/>
      <c r="G9" s="5"/>
      <c r="H9" t="str">
        <f t="shared" si="0"/>
        <v/>
      </c>
    </row>
    <row r="10" spans="1:9" x14ac:dyDescent="0.25">
      <c r="A10" s="1" t="s">
        <v>15</v>
      </c>
      <c r="E10" s="4">
        <f>SUM(E8:E9)</f>
        <v>103.7757</v>
      </c>
      <c r="F10" s="3"/>
      <c r="G10" s="42">
        <f>SUM(G8:G9)</f>
        <v>15.954399999999998</v>
      </c>
    </row>
    <row r="11" spans="1:9" x14ac:dyDescent="0.25">
      <c r="E11" s="3"/>
      <c r="F11" s="3"/>
      <c r="G11" s="3"/>
    </row>
    <row r="12" spans="1:9" x14ac:dyDescent="0.25">
      <c r="A12" s="1" t="s">
        <v>10</v>
      </c>
      <c r="E12" s="6">
        <f>SUM(E5:E7)+E10</f>
        <v>1699.2156999999997</v>
      </c>
      <c r="F12" s="4"/>
      <c r="G12" s="6">
        <f>SUM(G5:G7)+G10</f>
        <v>1611.3943999999999</v>
      </c>
    </row>
    <row r="13" spans="1:9" x14ac:dyDescent="0.25">
      <c r="E13" s="3"/>
      <c r="F13" s="3"/>
      <c r="G13" s="3"/>
    </row>
    <row r="14" spans="1:9" x14ac:dyDescent="0.25">
      <c r="E14" s="3"/>
      <c r="F14" s="3"/>
      <c r="G14" s="3"/>
    </row>
    <row r="15" spans="1:9" x14ac:dyDescent="0.25">
      <c r="A15" s="8" t="s">
        <v>139</v>
      </c>
      <c r="B15" s="9"/>
      <c r="C15" s="9"/>
      <c r="D15" s="9"/>
      <c r="E15" s="9"/>
      <c r="F15" s="9"/>
      <c r="G15" s="9"/>
      <c r="H15" s="1"/>
      <c r="I15" s="1"/>
    </row>
    <row r="16" spans="1:9" x14ac:dyDescent="0.25">
      <c r="A16" t="s">
        <v>75</v>
      </c>
      <c r="E16" s="3">
        <f>231.87</f>
        <v>231.87</v>
      </c>
      <c r="F16" s="3"/>
      <c r="G16" s="5"/>
    </row>
    <row r="17" spans="1:8" x14ac:dyDescent="0.25">
      <c r="A17" t="s">
        <v>135</v>
      </c>
      <c r="E17" s="3">
        <v>86.56</v>
      </c>
      <c r="F17" s="3"/>
      <c r="G17" s="5"/>
    </row>
    <row r="18" spans="1:8" x14ac:dyDescent="0.25">
      <c r="A18" t="s">
        <v>11</v>
      </c>
      <c r="D18">
        <f>23.28/2.8</f>
        <v>8.3142857142857149</v>
      </c>
      <c r="E18" s="3">
        <v>23.28</v>
      </c>
      <c r="F18" s="3"/>
      <c r="G18" s="5"/>
    </row>
    <row r="19" spans="1:8" x14ac:dyDescent="0.25">
      <c r="A19" t="s">
        <v>136</v>
      </c>
      <c r="E19" s="3">
        <v>103.24</v>
      </c>
      <c r="F19" s="3"/>
      <c r="G19" s="5"/>
    </row>
    <row r="20" spans="1:8" x14ac:dyDescent="0.25">
      <c r="A20" t="s">
        <v>137</v>
      </c>
      <c r="E20" s="3">
        <v>213.57</v>
      </c>
      <c r="F20" s="3"/>
      <c r="G20" s="5"/>
    </row>
    <row r="21" spans="1:8" x14ac:dyDescent="0.25">
      <c r="A21" t="s">
        <v>138</v>
      </c>
      <c r="D21">
        <f>139.03/2.8</f>
        <v>49.653571428571432</v>
      </c>
      <c r="E21" s="3">
        <v>139.03</v>
      </c>
      <c r="F21" s="3"/>
      <c r="G21" s="5"/>
    </row>
    <row r="22" spans="1:8" x14ac:dyDescent="0.25">
      <c r="A22" t="s">
        <v>141</v>
      </c>
      <c r="E22" s="3">
        <v>88.19</v>
      </c>
      <c r="F22" s="3"/>
      <c r="G22" s="5"/>
    </row>
    <row r="23" spans="1:8" x14ac:dyDescent="0.25">
      <c r="A23" t="s">
        <v>142</v>
      </c>
      <c r="E23" s="3">
        <v>95.61</v>
      </c>
      <c r="F23" s="3"/>
      <c r="G23" s="5"/>
    </row>
    <row r="24" spans="1:8" x14ac:dyDescent="0.25">
      <c r="A24" t="s">
        <v>13</v>
      </c>
      <c r="E24" s="3">
        <v>141.16</v>
      </c>
      <c r="F24" s="3"/>
      <c r="G24" s="5"/>
    </row>
    <row r="25" spans="1:8" x14ac:dyDescent="0.25">
      <c r="B25" s="1" t="s">
        <v>12</v>
      </c>
      <c r="E25" s="6">
        <f>SUM(E16:E24)</f>
        <v>1122.51</v>
      </c>
      <c r="F25" s="4"/>
      <c r="G25" s="6">
        <f>SUM(G16:G24)</f>
        <v>0</v>
      </c>
    </row>
    <row r="26" spans="1:8" x14ac:dyDescent="0.25">
      <c r="E26" s="3"/>
      <c r="F26" s="3"/>
      <c r="G26" s="3"/>
    </row>
    <row r="27" spans="1:8" ht="28.35" customHeight="1" x14ac:dyDescent="0.25">
      <c r="A27" s="83" t="s">
        <v>35</v>
      </c>
      <c r="B27" s="83"/>
      <c r="C27" s="83"/>
      <c r="D27" s="26"/>
      <c r="E27" s="6">
        <f>E12-E25</f>
        <v>576.70569999999975</v>
      </c>
      <c r="F27" s="4"/>
      <c r="G27" s="6">
        <f>G12-G25</f>
        <v>1611.3943999999999</v>
      </c>
    </row>
    <row r="28" spans="1:8" x14ac:dyDescent="0.25">
      <c r="E28" s="3"/>
      <c r="F28" s="3"/>
      <c r="G28" s="3"/>
    </row>
    <row r="29" spans="1:8" x14ac:dyDescent="0.25">
      <c r="A29" s="8" t="s">
        <v>143</v>
      </c>
      <c r="B29" s="9"/>
      <c r="C29" s="9"/>
      <c r="D29" s="9"/>
      <c r="E29" s="9"/>
      <c r="F29" s="9"/>
      <c r="G29" s="9"/>
    </row>
    <row r="30" spans="1:8" x14ac:dyDescent="0.25">
      <c r="A30" t="s">
        <v>16</v>
      </c>
      <c r="E30" s="3">
        <v>256.24</v>
      </c>
      <c r="F30" s="3"/>
      <c r="G30" s="5"/>
    </row>
    <row r="31" spans="1:8" x14ac:dyDescent="0.25">
      <c r="A31" t="s">
        <v>17</v>
      </c>
      <c r="E31" s="3">
        <v>356.22</v>
      </c>
      <c r="F31" s="3"/>
      <c r="G31" s="5"/>
      <c r="H31" t="str">
        <f t="shared" ref="H31" si="1">IF(G31="","",IF(OR(G31&gt;E31*(1+0.5),G31&lt;E31*(1-0.5)),"La valeur saisie diffère grandement des coûts utilisés dans le modèle. Assurez-vous qu'il ne s'agit pas d'une erreur de saisie",""))</f>
        <v/>
      </c>
    </row>
    <row r="32" spans="1:8" x14ac:dyDescent="0.25">
      <c r="B32" s="1" t="s">
        <v>12</v>
      </c>
      <c r="E32" s="4">
        <f>SUM(E30:E31)</f>
        <v>612.46</v>
      </c>
      <c r="F32" s="4"/>
      <c r="G32" s="4">
        <f>SUM(G30:G31)</f>
        <v>0</v>
      </c>
    </row>
    <row r="33" spans="1:7" x14ac:dyDescent="0.25">
      <c r="E33" s="3"/>
      <c r="F33" s="3"/>
      <c r="G33" s="3"/>
    </row>
    <row r="34" spans="1:7" ht="48" customHeight="1" thickBot="1" x14ac:dyDescent="0.3">
      <c r="A34" s="83" t="s">
        <v>36</v>
      </c>
      <c r="B34" s="83"/>
      <c r="C34" s="83"/>
      <c r="D34" s="26"/>
      <c r="E34" s="7">
        <f>E27-E32</f>
        <v>-35.754300000000285</v>
      </c>
      <c r="F34" s="4"/>
      <c r="G34" s="7">
        <f>G27-G32</f>
        <v>1611.3943999999999</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AF148-52F1-461B-8AA7-9DA533BBB27B}">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34</v>
      </c>
      <c r="F1" s="2"/>
      <c r="G1" s="2" t="s">
        <v>34</v>
      </c>
    </row>
    <row r="2" spans="1:8" ht="15.75" x14ac:dyDescent="0.25">
      <c r="E2" s="21" t="s">
        <v>151</v>
      </c>
      <c r="F2" s="12"/>
      <c r="G2" s="22" t="s">
        <v>22</v>
      </c>
    </row>
    <row r="3" spans="1:8" ht="7.35" customHeight="1" x14ac:dyDescent="0.25">
      <c r="E3" s="12"/>
      <c r="F3" s="12"/>
      <c r="G3" s="12"/>
    </row>
    <row r="4" spans="1:8" x14ac:dyDescent="0.25">
      <c r="A4" s="8" t="s">
        <v>9</v>
      </c>
      <c r="B4" s="9"/>
      <c r="C4" s="9"/>
      <c r="D4" s="9"/>
      <c r="E4" s="9"/>
      <c r="F4" s="9"/>
      <c r="G4" s="9"/>
    </row>
    <row r="5" spans="1:8" x14ac:dyDescent="0.25">
      <c r="A5" t="s">
        <v>44</v>
      </c>
      <c r="E5" s="3">
        <f>Saisies!B14*Saisies!B28</f>
        <v>971.25</v>
      </c>
      <c r="F5" s="3"/>
      <c r="G5" s="3">
        <f>IF(Saisies!C14="",Saisies!B14,Saisies!C14)*IF(Saisies!C28="",Saisies!B28,Saisies!C28)</f>
        <v>971.25</v>
      </c>
      <c r="H5" t="str">
        <f>IF(G5="","",IF(OR(G5&gt;E5*(1+0.5),G5&lt;E5*(1-0.5)),"La valeur saisie diffère grandement des coûts utilisés dans le modèle. Assurez-vous qu'il ne s'agit pas d'une erreur de saisie",""))</f>
        <v/>
      </c>
    </row>
    <row r="6" spans="1:8" x14ac:dyDescent="0.25">
      <c r="A6" t="s">
        <v>8</v>
      </c>
      <c r="E6" s="3">
        <f>IF(ASRA_Calculs!$B$8&lt;ASRA_Calculs!$C$8,(ASRA_Calculs!$C$8-ASRA_Calculs!$B$8)*ASRA_Calculs!$D$8,0)</f>
        <v>0</v>
      </c>
      <c r="F6" s="3"/>
      <c r="G6" s="3">
        <f>IF(ASRA_Calculs!$B$8&lt;ASRA_Calculs!$C$8,(ASRA_Calculs!$C$8-ASRA_Calculs!$B$8)*ASRA_Calculs!$D$8,0)</f>
        <v>0</v>
      </c>
      <c r="H6" t="str">
        <f t="shared" ref="H6:H9" si="0">IF(G6="","",IF(OR(G6&gt;E6*(1+0.5),G6&lt;E6*(1-0.5)),"La valeur saisie diffère grandement des coûts utilisés dans le modèle. Assurez-vous qu'il ne s'agit pas d'une erreur de saisie",""))</f>
        <v/>
      </c>
    </row>
    <row r="7" spans="1:8" x14ac:dyDescent="0.25">
      <c r="A7" t="s">
        <v>14</v>
      </c>
      <c r="E7" s="3">
        <v>0</v>
      </c>
      <c r="F7" s="3"/>
      <c r="G7" s="5"/>
      <c r="H7" t="str">
        <f t="shared" si="0"/>
        <v/>
      </c>
    </row>
    <row r="8" spans="1:8" outlineLevel="1" x14ac:dyDescent="0.25">
      <c r="A8" s="30" t="s">
        <v>144</v>
      </c>
      <c r="E8" s="3">
        <f>(E5+E7-E16)*0.042</f>
        <v>35.193480000000001</v>
      </c>
      <c r="F8" s="3"/>
      <c r="G8" s="3">
        <f>(G5-G16)*0.042</f>
        <v>40.792500000000004</v>
      </c>
    </row>
    <row r="9" spans="1:8" outlineLevel="1" x14ac:dyDescent="0.25">
      <c r="A9" s="30" t="s">
        <v>15</v>
      </c>
      <c r="E9" s="43">
        <v>276.89999999999998</v>
      </c>
      <c r="F9" s="3"/>
      <c r="G9" s="5"/>
      <c r="H9" t="str">
        <f t="shared" si="0"/>
        <v/>
      </c>
    </row>
    <row r="10" spans="1:8" x14ac:dyDescent="0.25">
      <c r="A10" s="1" t="s">
        <v>15</v>
      </c>
      <c r="E10" s="4">
        <f>SUM(E8:E9)</f>
        <v>312.09348</v>
      </c>
      <c r="F10" s="3"/>
      <c r="G10" s="42">
        <f>SUM(G8:G9)</f>
        <v>40.792500000000004</v>
      </c>
    </row>
    <row r="11" spans="1:8" x14ac:dyDescent="0.25">
      <c r="E11" s="3"/>
      <c r="F11" s="3"/>
      <c r="G11" s="3"/>
    </row>
    <row r="12" spans="1:8" x14ac:dyDescent="0.25">
      <c r="A12" s="1" t="s">
        <v>10</v>
      </c>
      <c r="E12" s="6">
        <f>SUM(E5:E7)+E10</f>
        <v>1283.34348</v>
      </c>
      <c r="F12" s="4"/>
      <c r="G12" s="6">
        <f>SUM(G5:G7)+G10</f>
        <v>1012.0425</v>
      </c>
    </row>
    <row r="13" spans="1:8" x14ac:dyDescent="0.25">
      <c r="E13" s="3"/>
      <c r="F13" s="3"/>
      <c r="G13" s="3"/>
    </row>
    <row r="14" spans="1:8" x14ac:dyDescent="0.25">
      <c r="E14" s="3"/>
      <c r="F14" s="3"/>
      <c r="G14" s="3"/>
    </row>
    <row r="15" spans="1:8" x14ac:dyDescent="0.25">
      <c r="A15" s="8" t="s">
        <v>139</v>
      </c>
      <c r="B15" s="9"/>
      <c r="C15" s="9"/>
      <c r="D15" s="9"/>
      <c r="E15" s="9"/>
      <c r="F15" s="9"/>
      <c r="G15" s="9"/>
    </row>
    <row r="16" spans="1:8" x14ac:dyDescent="0.25">
      <c r="A16" t="s">
        <v>75</v>
      </c>
      <c r="E16" s="3">
        <v>133.31</v>
      </c>
      <c r="F16" s="3"/>
      <c r="G16" s="5"/>
    </row>
    <row r="17" spans="1:8" x14ac:dyDescent="0.25">
      <c r="A17" t="s">
        <v>135</v>
      </c>
      <c r="E17" s="3">
        <v>60.05</v>
      </c>
      <c r="F17" s="3"/>
      <c r="G17" s="5"/>
    </row>
    <row r="18" spans="1:8" x14ac:dyDescent="0.25">
      <c r="A18" t="s">
        <v>11</v>
      </c>
      <c r="D18">
        <f>39.03/2.1</f>
        <v>18.585714285714285</v>
      </c>
      <c r="E18" s="3">
        <v>39.03</v>
      </c>
      <c r="F18" s="3"/>
      <c r="G18" s="5"/>
    </row>
    <row r="19" spans="1:8" x14ac:dyDescent="0.25">
      <c r="A19" t="s">
        <v>136</v>
      </c>
      <c r="E19" s="3">
        <v>160.85</v>
      </c>
      <c r="F19" s="3"/>
      <c r="G19" s="5"/>
    </row>
    <row r="20" spans="1:8" x14ac:dyDescent="0.25">
      <c r="A20" t="s">
        <v>137</v>
      </c>
      <c r="E20" s="3">
        <v>200.93</v>
      </c>
      <c r="F20" s="3"/>
      <c r="G20" s="5"/>
    </row>
    <row r="21" spans="1:8" x14ac:dyDescent="0.25">
      <c r="A21" t="s">
        <v>138</v>
      </c>
      <c r="D21">
        <f>106.62/2.1</f>
        <v>50.771428571428572</v>
      </c>
      <c r="E21" s="3">
        <v>106.62</v>
      </c>
      <c r="F21" s="3"/>
      <c r="G21" s="5"/>
    </row>
    <row r="22" spans="1:8" x14ac:dyDescent="0.25">
      <c r="A22" t="s">
        <v>141</v>
      </c>
      <c r="E22" s="3">
        <v>55.35</v>
      </c>
      <c r="F22" s="3"/>
      <c r="G22" s="5"/>
    </row>
    <row r="23" spans="1:8" x14ac:dyDescent="0.25">
      <c r="A23" t="s">
        <v>142</v>
      </c>
      <c r="E23" s="3">
        <v>93.52</v>
      </c>
      <c r="F23" s="3"/>
      <c r="G23" s="5"/>
    </row>
    <row r="24" spans="1:8" x14ac:dyDescent="0.25">
      <c r="A24" t="s">
        <v>13</v>
      </c>
      <c r="E24" s="3">
        <v>77.239999999999995</v>
      </c>
      <c r="F24" s="3"/>
      <c r="G24" s="5"/>
    </row>
    <row r="25" spans="1:8" x14ac:dyDescent="0.25">
      <c r="B25" s="1" t="s">
        <v>12</v>
      </c>
      <c r="E25" s="6">
        <f>SUM(E16:E24)</f>
        <v>926.90000000000009</v>
      </c>
      <c r="F25" s="4"/>
      <c r="G25" s="6">
        <f>SUM(G16:G24)</f>
        <v>0</v>
      </c>
    </row>
    <row r="26" spans="1:8" x14ac:dyDescent="0.25">
      <c r="E26" s="3"/>
      <c r="F26" s="3"/>
      <c r="G26" s="3"/>
    </row>
    <row r="27" spans="1:8" ht="28.35" customHeight="1" x14ac:dyDescent="0.25">
      <c r="A27" s="83" t="s">
        <v>35</v>
      </c>
      <c r="B27" s="83"/>
      <c r="C27" s="83"/>
      <c r="D27" s="26"/>
      <c r="E27" s="6">
        <f>E12-E25</f>
        <v>356.44347999999991</v>
      </c>
      <c r="F27" s="4"/>
      <c r="G27" s="6">
        <f>G12-G25</f>
        <v>1012.0425</v>
      </c>
    </row>
    <row r="28" spans="1:8" x14ac:dyDescent="0.25">
      <c r="E28" s="3"/>
      <c r="F28" s="3"/>
      <c r="G28" s="3"/>
    </row>
    <row r="29" spans="1:8" x14ac:dyDescent="0.25">
      <c r="A29" s="8" t="s">
        <v>143</v>
      </c>
      <c r="B29" s="9"/>
      <c r="C29" s="9"/>
      <c r="D29" s="9"/>
      <c r="E29" s="9"/>
      <c r="F29" s="9"/>
      <c r="G29" s="9"/>
    </row>
    <row r="30" spans="1:8" x14ac:dyDescent="0.25">
      <c r="A30" t="s">
        <v>16</v>
      </c>
      <c r="E30" s="3">
        <v>254.5</v>
      </c>
      <c r="F30" s="3"/>
      <c r="G30" s="5"/>
    </row>
    <row r="31" spans="1:8" x14ac:dyDescent="0.25">
      <c r="A31" t="s">
        <v>17</v>
      </c>
      <c r="E31" s="3">
        <v>324.72000000000003</v>
      </c>
      <c r="F31" s="3"/>
      <c r="G31" s="5"/>
      <c r="H31" t="str">
        <f t="shared" ref="H31" si="1">IF(G31="","",IF(OR(G31&gt;E31*(1+0.5),G31&lt;E31*(1-0.5)),"La valeur saisie diffère grandement des coûts utilisés dans le modèle. Assurez-vous qu'il ne s'agit pas d'une erreur de saisie",""))</f>
        <v/>
      </c>
    </row>
    <row r="32" spans="1:8" x14ac:dyDescent="0.25">
      <c r="B32" s="1" t="s">
        <v>12</v>
      </c>
      <c r="E32" s="4">
        <f>SUM(E30:E31)</f>
        <v>579.22</v>
      </c>
      <c r="F32" s="4"/>
      <c r="G32" s="4">
        <f>SUM(G30:G31)</f>
        <v>0</v>
      </c>
    </row>
    <row r="33" spans="1:7" x14ac:dyDescent="0.25">
      <c r="E33" s="3"/>
      <c r="F33" s="3"/>
      <c r="G33" s="3"/>
    </row>
    <row r="34" spans="1:7" ht="48" customHeight="1" thickBot="1" x14ac:dyDescent="0.3">
      <c r="A34" s="83" t="s">
        <v>36</v>
      </c>
      <c r="B34" s="83"/>
      <c r="C34" s="83"/>
      <c r="D34" s="26"/>
      <c r="E34" s="7">
        <f>E27-E32</f>
        <v>-222.77652000000012</v>
      </c>
      <c r="F34" s="4"/>
      <c r="G34" s="7">
        <f>G27-G32</f>
        <v>1012.0425</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F321E-38F8-4ABE-AA61-3F63D9552254}">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34</v>
      </c>
      <c r="F1" s="2"/>
      <c r="G1" s="2" t="s">
        <v>34</v>
      </c>
    </row>
    <row r="2" spans="1:8" ht="15.75" x14ac:dyDescent="0.25">
      <c r="E2" s="21" t="s">
        <v>151</v>
      </c>
      <c r="F2" s="12"/>
      <c r="G2" s="22" t="s">
        <v>22</v>
      </c>
    </row>
    <row r="3" spans="1:8" ht="7.35" customHeight="1" x14ac:dyDescent="0.25">
      <c r="E3" s="12"/>
      <c r="F3" s="12"/>
      <c r="G3" s="12"/>
    </row>
    <row r="4" spans="1:8" x14ac:dyDescent="0.25">
      <c r="A4" s="8" t="s">
        <v>9</v>
      </c>
      <c r="B4" s="9"/>
      <c r="C4" s="9"/>
      <c r="D4" s="9"/>
      <c r="E4" s="9"/>
      <c r="F4" s="9"/>
      <c r="G4" s="9"/>
    </row>
    <row r="5" spans="1:8" x14ac:dyDescent="0.25">
      <c r="A5" t="s">
        <v>44</v>
      </c>
      <c r="E5" s="3">
        <f>Saisies!B15*Saisies!B29</f>
        <v>2081.25</v>
      </c>
      <c r="F5" s="3"/>
      <c r="G5" s="3">
        <f>IF(Saisies!C15="",Saisies!B15,Saisies!C15)*IF(Saisies!C29="",Saisies!B29,Saisies!C29)</f>
        <v>2081.25</v>
      </c>
      <c r="H5" t="str">
        <f>IF(G5="","",IF(OR(G5&gt;E5*(1+0.5),G5&lt;E5*(1-0.5)),"La valeur saisie diffère grandement des coûts utilisés dans le modèle. Assurez-vous qu'il ne s'agit pas d'une erreur de saisie",""))</f>
        <v/>
      </c>
    </row>
    <row r="6" spans="1:8" x14ac:dyDescent="0.25">
      <c r="A6" t="s">
        <v>8</v>
      </c>
      <c r="E6" s="3">
        <f>IF(ASRA_Calculs!$B$8&lt;ASRA_Calculs!$C$8,(ASRA_Calculs!$C$8-ASRA_Calculs!$B$8)*ASRA_Calculs!$D$8,0)</f>
        <v>0</v>
      </c>
      <c r="F6" s="3"/>
      <c r="G6" s="3">
        <f>IF(ASRA_Calculs!$B$8&lt;ASRA_Calculs!$C$8,(ASRA_Calculs!$C$8-ASRA_Calculs!$B$8)*ASRA_Calculs!$D$8,0)</f>
        <v>0</v>
      </c>
      <c r="H6" t="str">
        <f t="shared" ref="H6:H9" si="0">IF(G6="","",IF(OR(G6&gt;E6*(1+0.5),G6&lt;E6*(1-0.5)),"La valeur saisie diffère grandement des coûts utilisés dans le modèle. Assurez-vous qu'il ne s'agit pas d'une erreur de saisie",""))</f>
        <v/>
      </c>
    </row>
    <row r="7" spans="1:8" x14ac:dyDescent="0.25">
      <c r="A7" t="s">
        <v>14</v>
      </c>
      <c r="E7" s="3">
        <v>0</v>
      </c>
      <c r="F7" s="3"/>
      <c r="G7" s="5"/>
      <c r="H7" t="str">
        <f t="shared" si="0"/>
        <v/>
      </c>
    </row>
    <row r="8" spans="1:8" outlineLevel="1" x14ac:dyDescent="0.25">
      <c r="A8" s="30" t="s">
        <v>144</v>
      </c>
      <c r="E8" s="3">
        <f>(E5+E7-E16)*0.042</f>
        <v>76.214460000000003</v>
      </c>
      <c r="F8" s="3"/>
      <c r="G8" s="3">
        <f>(G5-G16)*0.042</f>
        <v>87.412500000000009</v>
      </c>
    </row>
    <row r="9" spans="1:8" outlineLevel="1" x14ac:dyDescent="0.25">
      <c r="A9" s="30" t="s">
        <v>15</v>
      </c>
      <c r="E9" s="43">
        <v>235.88</v>
      </c>
      <c r="F9" s="3"/>
      <c r="G9" s="5"/>
      <c r="H9" t="str">
        <f t="shared" si="0"/>
        <v/>
      </c>
    </row>
    <row r="10" spans="1:8" x14ac:dyDescent="0.25">
      <c r="A10" s="1" t="s">
        <v>15</v>
      </c>
      <c r="E10" s="4">
        <f>SUM(E8:E9)</f>
        <v>312.09446000000003</v>
      </c>
      <c r="F10" s="3"/>
      <c r="G10" s="42">
        <f>SUM(G8:G9)</f>
        <v>87.412500000000009</v>
      </c>
    </row>
    <row r="11" spans="1:8" x14ac:dyDescent="0.25">
      <c r="E11" s="3"/>
      <c r="F11" s="3"/>
      <c r="G11" s="3"/>
    </row>
    <row r="12" spans="1:8" x14ac:dyDescent="0.25">
      <c r="A12" s="1" t="s">
        <v>10</v>
      </c>
      <c r="E12" s="6">
        <f>SUM(E5:E7)+E10</f>
        <v>2393.3444600000003</v>
      </c>
      <c r="F12" s="4"/>
      <c r="G12" s="6">
        <f>SUM(G5:G7)+G10</f>
        <v>2168.6624999999999</v>
      </c>
    </row>
    <row r="13" spans="1:8" x14ac:dyDescent="0.25">
      <c r="E13" s="3"/>
      <c r="F13" s="3"/>
      <c r="G13" s="3"/>
    </row>
    <row r="14" spans="1:8" x14ac:dyDescent="0.25">
      <c r="E14" s="3"/>
      <c r="F14" s="3"/>
      <c r="G14" s="3"/>
    </row>
    <row r="15" spans="1:8" x14ac:dyDescent="0.25">
      <c r="A15" s="8" t="s">
        <v>139</v>
      </c>
      <c r="B15" s="9"/>
      <c r="C15" s="9"/>
      <c r="D15" s="9"/>
      <c r="E15" s="9"/>
      <c r="F15" s="9"/>
      <c r="G15" s="9"/>
    </row>
    <row r="16" spans="1:8" x14ac:dyDescent="0.25">
      <c r="A16" t="s">
        <v>75</v>
      </c>
      <c r="E16" s="3">
        <f>133.31*2</f>
        <v>266.62</v>
      </c>
      <c r="F16" s="3"/>
      <c r="G16" s="5"/>
      <c r="H16" t="str">
        <f t="shared" ref="H16:H24" si="1">IF(G16="","",IF(OR(G16&gt;E16*(1+0.5),G16&lt;E16*(1-0.5)),"La valeur saisie diffère grandement des coûts utilisés dans le modèle. Assurez-vous qu'il ne s'agit pas d'une erreur de saisie",""))</f>
        <v/>
      </c>
    </row>
    <row r="17" spans="1:8" x14ac:dyDescent="0.25">
      <c r="A17" t="s">
        <v>135</v>
      </c>
      <c r="E17" s="3">
        <v>60.05</v>
      </c>
      <c r="F17" s="3"/>
      <c r="G17" s="5"/>
      <c r="H17" t="str">
        <f t="shared" si="1"/>
        <v/>
      </c>
    </row>
    <row r="18" spans="1:8" x14ac:dyDescent="0.25">
      <c r="A18" t="s">
        <v>11</v>
      </c>
      <c r="D18">
        <f>39.03/4.5</f>
        <v>8.6733333333333338</v>
      </c>
      <c r="E18" s="3">
        <v>39.03</v>
      </c>
      <c r="F18" s="3"/>
      <c r="G18" s="5"/>
    </row>
    <row r="19" spans="1:8" x14ac:dyDescent="0.25">
      <c r="A19" t="s">
        <v>136</v>
      </c>
      <c r="E19" s="3">
        <v>160.85</v>
      </c>
      <c r="F19" s="3"/>
      <c r="G19" s="5"/>
    </row>
    <row r="20" spans="1:8" x14ac:dyDescent="0.25">
      <c r="A20" t="s">
        <v>137</v>
      </c>
      <c r="E20" s="3">
        <v>200.93</v>
      </c>
      <c r="F20" s="3"/>
      <c r="G20" s="5"/>
    </row>
    <row r="21" spans="1:8" x14ac:dyDescent="0.25">
      <c r="A21" t="s">
        <v>138</v>
      </c>
      <c r="D21">
        <f>106.62/4.5</f>
        <v>23.693333333333335</v>
      </c>
      <c r="E21" s="3">
        <v>106.62</v>
      </c>
      <c r="F21" s="3"/>
      <c r="G21" s="5"/>
      <c r="H21" t="str">
        <f t="shared" si="1"/>
        <v/>
      </c>
    </row>
    <row r="22" spans="1:8" x14ac:dyDescent="0.25">
      <c r="A22" t="s">
        <v>141</v>
      </c>
      <c r="E22" s="3">
        <v>55.35</v>
      </c>
      <c r="F22" s="3"/>
      <c r="G22" s="5"/>
      <c r="H22" t="str">
        <f t="shared" si="1"/>
        <v/>
      </c>
    </row>
    <row r="23" spans="1:8" x14ac:dyDescent="0.25">
      <c r="A23" t="s">
        <v>142</v>
      </c>
      <c r="E23" s="3">
        <v>93.52</v>
      </c>
      <c r="F23" s="3"/>
      <c r="G23" s="5"/>
      <c r="H23" t="str">
        <f t="shared" si="1"/>
        <v/>
      </c>
    </row>
    <row r="24" spans="1:8" x14ac:dyDescent="0.25">
      <c r="A24" t="s">
        <v>13</v>
      </c>
      <c r="E24" s="3">
        <v>77.239999999999995</v>
      </c>
      <c r="F24" s="3"/>
      <c r="G24" s="5"/>
      <c r="H24" t="str">
        <f t="shared" si="1"/>
        <v/>
      </c>
    </row>
    <row r="25" spans="1:8" x14ac:dyDescent="0.25">
      <c r="B25" s="1" t="s">
        <v>12</v>
      </c>
      <c r="E25" s="6">
        <f>SUM(E16:E24)</f>
        <v>1060.21</v>
      </c>
      <c r="F25" s="4"/>
      <c r="G25" s="6">
        <f>SUM(G16:G24)</f>
        <v>0</v>
      </c>
    </row>
    <row r="26" spans="1:8" x14ac:dyDescent="0.25">
      <c r="E26" s="3"/>
      <c r="F26" s="3"/>
      <c r="G26" s="3"/>
    </row>
    <row r="27" spans="1:8" ht="28.35" customHeight="1" x14ac:dyDescent="0.25">
      <c r="A27" s="83" t="s">
        <v>35</v>
      </c>
      <c r="B27" s="83"/>
      <c r="C27" s="83"/>
      <c r="D27" s="26"/>
      <c r="E27" s="6">
        <f>E12-E25</f>
        <v>1333.1344600000002</v>
      </c>
      <c r="F27" s="4"/>
      <c r="G27" s="6">
        <f>G12-G25</f>
        <v>2168.6624999999999</v>
      </c>
    </row>
    <row r="28" spans="1:8" x14ac:dyDescent="0.25">
      <c r="E28" s="3"/>
      <c r="F28" s="3"/>
      <c r="G28" s="3"/>
    </row>
    <row r="29" spans="1:8" x14ac:dyDescent="0.25">
      <c r="A29" s="8" t="s">
        <v>143</v>
      </c>
      <c r="B29" s="9"/>
      <c r="C29" s="9"/>
      <c r="D29" s="9"/>
      <c r="E29" s="9"/>
      <c r="F29" s="9"/>
      <c r="G29" s="9"/>
    </row>
    <row r="30" spans="1:8" x14ac:dyDescent="0.25">
      <c r="A30" t="s">
        <v>16</v>
      </c>
      <c r="E30" s="3">
        <v>254.5</v>
      </c>
      <c r="F30" s="3"/>
      <c r="G30" s="5"/>
      <c r="H30" t="str">
        <f t="shared" ref="H30:H31" si="2">IF(G30="","",IF(OR(G30&gt;E30*(1+0.5),G30&lt;E30*(1-0.5)),"La valeur saisie diffère grandement des coûts utilisés dans le modèle. Assurez-vous qu'il ne s'agit pas d'une erreur de saisie",""))</f>
        <v/>
      </c>
    </row>
    <row r="31" spans="1:8" x14ac:dyDescent="0.25">
      <c r="A31" t="s">
        <v>17</v>
      </c>
      <c r="E31" s="3">
        <v>324.72000000000003</v>
      </c>
      <c r="F31" s="3"/>
      <c r="G31" s="5"/>
      <c r="H31" t="str">
        <f t="shared" si="2"/>
        <v/>
      </c>
    </row>
    <row r="32" spans="1:8" x14ac:dyDescent="0.25">
      <c r="B32" s="1" t="s">
        <v>12</v>
      </c>
      <c r="E32" s="4">
        <f>SUM(E30:E31)</f>
        <v>579.22</v>
      </c>
      <c r="F32" s="4"/>
      <c r="G32" s="4">
        <f>SUM(G30:G31)</f>
        <v>0</v>
      </c>
    </row>
    <row r="33" spans="1:7" x14ac:dyDescent="0.25">
      <c r="E33" s="3"/>
      <c r="F33" s="3"/>
      <c r="G33" s="3"/>
    </row>
    <row r="34" spans="1:7" ht="48" customHeight="1" thickBot="1" x14ac:dyDescent="0.3">
      <c r="A34" s="83" t="s">
        <v>36</v>
      </c>
      <c r="B34" s="83"/>
      <c r="C34" s="83"/>
      <c r="D34" s="26"/>
      <c r="E34" s="7">
        <f>E27-E32</f>
        <v>753.91446000000019</v>
      </c>
      <c r="F34" s="4"/>
      <c r="G34" s="7">
        <f>G27-G32</f>
        <v>2168.6624999999999</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31638-EAAE-4992-8C9D-61ED3278511F}">
  <sheetPr>
    <tabColor theme="5" tint="0.79998168889431442"/>
  </sheetPr>
  <dimension ref="A1:J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10" x14ac:dyDescent="0.25">
      <c r="E1" s="2" t="s">
        <v>34</v>
      </c>
      <c r="F1" s="2"/>
      <c r="G1" s="2" t="s">
        <v>34</v>
      </c>
    </row>
    <row r="2" spans="1:10" ht="15.75" x14ac:dyDescent="0.25">
      <c r="E2" s="21" t="s">
        <v>151</v>
      </c>
      <c r="F2" s="12"/>
      <c r="G2" s="22" t="s">
        <v>22</v>
      </c>
    </row>
    <row r="3" spans="1:10" ht="7.35" customHeight="1" x14ac:dyDescent="0.25">
      <c r="E3" s="12"/>
      <c r="F3" s="12"/>
      <c r="G3" s="12"/>
    </row>
    <row r="4" spans="1:10" x14ac:dyDescent="0.25">
      <c r="A4" s="8" t="s">
        <v>9</v>
      </c>
      <c r="B4" s="9"/>
      <c r="C4" s="9"/>
      <c r="D4" s="9"/>
      <c r="E4" s="9"/>
      <c r="F4" s="9"/>
      <c r="G4" s="9"/>
    </row>
    <row r="5" spans="1:10" x14ac:dyDescent="0.25">
      <c r="A5" t="s">
        <v>44</v>
      </c>
      <c r="E5" s="3">
        <f>Saisies!B16*Saisies!B30</f>
        <v>627.27</v>
      </c>
      <c r="F5" s="3"/>
      <c r="G5" s="3">
        <f>IF(Saisies!C16="",Saisies!B16,Saisies!C16)*IF(Saisies!C30="",Saisies!B30,Saisies!C30)</f>
        <v>627.27</v>
      </c>
      <c r="H5" t="str">
        <f>IF(G5="","",IF(OR(G5&gt;E5*(1+0.5),G5&lt;E5*(1-0.5)),"La valeur saisie diffère grandement des coûts utilisés dans le modèle. Assurez-vous qu'il ne s'agit pas d'une erreur de saisie",""))</f>
        <v/>
      </c>
    </row>
    <row r="6" spans="1:10" x14ac:dyDescent="0.25">
      <c r="A6" t="s">
        <v>8</v>
      </c>
      <c r="E6" s="3">
        <f>IF(ASRA_Calculs!$B$9&lt;ASRA_Calculs!$C$9,(ASRA_Calculs!$C$9-ASRA_Calculs!$B$9)*ASRA_Calculs!$D$9,0)</f>
        <v>0</v>
      </c>
      <c r="F6" s="3"/>
      <c r="G6" s="3">
        <f>IF(ASRA_Calculs!$B$9&lt;ASRA_Calculs!$C$9,(ASRA_Calculs!$C$9-ASRA_Calculs!$B$9)*ASRA_Calculs!$D$9,0)</f>
        <v>0</v>
      </c>
      <c r="H6" t="str">
        <f t="shared" ref="H6:H9" si="0">IF(G6="","",IF(OR(G6&gt;E6*(1+0.5),G6&lt;E6*(1-0.5)),"La valeur saisie diffère grandement des coûts utilisés dans le modèle. Assurez-vous qu'il ne s'agit pas d'une erreur de saisie",""))</f>
        <v/>
      </c>
    </row>
    <row r="7" spans="1:10" x14ac:dyDescent="0.25">
      <c r="A7" t="s">
        <v>14</v>
      </c>
      <c r="E7" s="3">
        <v>151</v>
      </c>
      <c r="F7" s="3"/>
      <c r="G7" s="5"/>
      <c r="H7" t="str">
        <f t="shared" si="0"/>
        <v/>
      </c>
    </row>
    <row r="8" spans="1:10" outlineLevel="1" x14ac:dyDescent="0.25">
      <c r="A8" s="30" t="s">
        <v>144</v>
      </c>
      <c r="E8" s="3">
        <f>(E5+E7-E16)*0.042</f>
        <v>31.326540000000001</v>
      </c>
      <c r="F8" s="3"/>
      <c r="G8" s="3">
        <f>(G5-G16)*0.042</f>
        <v>26.34534</v>
      </c>
    </row>
    <row r="9" spans="1:10" outlineLevel="1" x14ac:dyDescent="0.25">
      <c r="A9" s="30" t="s">
        <v>15</v>
      </c>
      <c r="E9" s="43">
        <v>13</v>
      </c>
      <c r="F9" s="3"/>
      <c r="G9" s="5"/>
      <c r="H9" t="str">
        <f t="shared" si="0"/>
        <v/>
      </c>
    </row>
    <row r="10" spans="1:10" x14ac:dyDescent="0.25">
      <c r="A10" s="1" t="s">
        <v>15</v>
      </c>
      <c r="E10" s="4">
        <f>SUM(E8:E9)</f>
        <v>44.326540000000001</v>
      </c>
      <c r="F10" s="3"/>
      <c r="G10" s="42">
        <f>SUM(G8:G9)</f>
        <v>26.34534</v>
      </c>
    </row>
    <row r="11" spans="1:10" x14ac:dyDescent="0.25">
      <c r="E11" s="3"/>
      <c r="F11" s="3"/>
      <c r="G11" s="3"/>
    </row>
    <row r="12" spans="1:10" x14ac:dyDescent="0.25">
      <c r="A12" s="1" t="s">
        <v>10</v>
      </c>
      <c r="E12" s="6">
        <f>SUM(E5:E7)+E10</f>
        <v>822.59654</v>
      </c>
      <c r="F12" s="4"/>
      <c r="G12" s="6">
        <f>SUM(G5:G7)+G10</f>
        <v>653.61533999999995</v>
      </c>
    </row>
    <row r="13" spans="1:10" x14ac:dyDescent="0.25">
      <c r="E13" s="3"/>
      <c r="F13" s="3"/>
      <c r="G13" s="3"/>
    </row>
    <row r="14" spans="1:10" x14ac:dyDescent="0.25">
      <c r="E14" s="3"/>
      <c r="F14" s="3"/>
      <c r="G14" s="3"/>
    </row>
    <row r="15" spans="1:10" x14ac:dyDescent="0.25">
      <c r="A15" s="8" t="s">
        <v>139</v>
      </c>
      <c r="B15" s="9"/>
      <c r="C15" s="9"/>
      <c r="D15" s="9"/>
      <c r="E15" s="9"/>
      <c r="F15" s="9"/>
      <c r="G15" s="9"/>
      <c r="H15" s="1"/>
      <c r="I15" s="1"/>
      <c r="J15" s="1"/>
    </row>
    <row r="16" spans="1:10" x14ac:dyDescent="0.25">
      <c r="A16" t="s">
        <v>75</v>
      </c>
      <c r="E16" s="3">
        <f>27*1.2</f>
        <v>32.4</v>
      </c>
      <c r="F16" s="3"/>
      <c r="G16" s="5"/>
    </row>
    <row r="17" spans="1:8" x14ac:dyDescent="0.25">
      <c r="A17" t="s">
        <v>135</v>
      </c>
      <c r="E17" s="3">
        <v>58</v>
      </c>
      <c r="F17" s="3"/>
      <c r="G17" s="5"/>
    </row>
    <row r="18" spans="1:8" x14ac:dyDescent="0.25">
      <c r="A18" t="s">
        <v>11</v>
      </c>
      <c r="D18">
        <f>0/3.5</f>
        <v>0</v>
      </c>
      <c r="E18" s="3">
        <v>0</v>
      </c>
      <c r="F18" s="3"/>
      <c r="G18" s="5"/>
    </row>
    <row r="19" spans="1:8" x14ac:dyDescent="0.25">
      <c r="A19" t="s">
        <v>136</v>
      </c>
      <c r="E19" s="3">
        <f>21+58+126</f>
        <v>205</v>
      </c>
      <c r="F19" s="3"/>
      <c r="G19" s="5"/>
    </row>
    <row r="20" spans="1:8" x14ac:dyDescent="0.25">
      <c r="A20" t="s">
        <v>137</v>
      </c>
      <c r="E20" s="3">
        <v>171</v>
      </c>
      <c r="F20" s="3"/>
      <c r="G20" s="5"/>
    </row>
    <row r="21" spans="1:8" x14ac:dyDescent="0.25">
      <c r="A21" t="s">
        <v>138</v>
      </c>
      <c r="D21">
        <f>122/3</f>
        <v>40.666666666666664</v>
      </c>
      <c r="E21" s="3">
        <f>32+90</f>
        <v>122</v>
      </c>
      <c r="F21" s="3"/>
      <c r="G21" s="5"/>
    </row>
    <row r="22" spans="1:8" x14ac:dyDescent="0.25">
      <c r="A22" t="s">
        <v>141</v>
      </c>
      <c r="E22" s="3">
        <f>52+22</f>
        <v>74</v>
      </c>
      <c r="F22" s="3"/>
      <c r="G22" s="5"/>
    </row>
    <row r="23" spans="1:8" x14ac:dyDescent="0.25">
      <c r="A23" t="s">
        <v>142</v>
      </c>
      <c r="E23" s="3">
        <v>74</v>
      </c>
      <c r="F23" s="3"/>
      <c r="G23" s="5"/>
    </row>
    <row r="24" spans="1:8" x14ac:dyDescent="0.25">
      <c r="A24" t="s">
        <v>13</v>
      </c>
      <c r="E24" s="3">
        <f>12+40</f>
        <v>52</v>
      </c>
      <c r="F24" s="3"/>
      <c r="G24" s="5"/>
    </row>
    <row r="25" spans="1:8" x14ac:dyDescent="0.25">
      <c r="B25" s="1" t="s">
        <v>12</v>
      </c>
      <c r="E25" s="6">
        <f>SUM(E16:E24)</f>
        <v>788.4</v>
      </c>
      <c r="F25" s="4"/>
      <c r="G25" s="6">
        <f>SUM(G16:G24)</f>
        <v>0</v>
      </c>
    </row>
    <row r="26" spans="1:8" x14ac:dyDescent="0.25">
      <c r="E26" s="3"/>
      <c r="F26" s="3"/>
      <c r="G26" s="3"/>
    </row>
    <row r="27" spans="1:8" ht="28.35" customHeight="1" x14ac:dyDescent="0.25">
      <c r="A27" s="83" t="s">
        <v>35</v>
      </c>
      <c r="B27" s="83"/>
      <c r="C27" s="83"/>
      <c r="D27" s="26"/>
      <c r="E27" s="6">
        <f>E12-E25</f>
        <v>34.196540000000027</v>
      </c>
      <c r="F27" s="4"/>
      <c r="G27" s="6">
        <f>G12-G25</f>
        <v>653.61533999999995</v>
      </c>
    </row>
    <row r="28" spans="1:8" x14ac:dyDescent="0.25">
      <c r="E28" s="3"/>
      <c r="F28" s="3"/>
      <c r="G28" s="3"/>
    </row>
    <row r="29" spans="1:8" x14ac:dyDescent="0.25">
      <c r="A29" s="8" t="s">
        <v>143</v>
      </c>
      <c r="B29" s="9"/>
      <c r="C29" s="9"/>
      <c r="D29" s="9"/>
      <c r="E29" s="9"/>
      <c r="F29" s="9"/>
      <c r="G29" s="9"/>
    </row>
    <row r="30" spans="1:8" x14ac:dyDescent="0.25">
      <c r="A30" t="s">
        <v>16</v>
      </c>
      <c r="E30" s="3">
        <f>171+55</f>
        <v>226</v>
      </c>
      <c r="F30" s="3"/>
      <c r="G30" s="5"/>
    </row>
    <row r="31" spans="1:8" x14ac:dyDescent="0.25">
      <c r="A31" t="s">
        <v>17</v>
      </c>
      <c r="E31" s="3">
        <v>335</v>
      </c>
      <c r="F31" s="3"/>
      <c r="G31" s="5"/>
      <c r="H31" t="str">
        <f t="shared" ref="H31" si="1">IF(G31="","",IF(OR(G31&gt;E31*(1+0.5),G31&lt;E31*(1-0.5)),"La valeur saisie diffère grandement des coûts utilisés dans le modèle. Assurez-vous qu'il ne s'agit pas d'une erreur de saisie",""))</f>
        <v/>
      </c>
    </row>
    <row r="32" spans="1:8" x14ac:dyDescent="0.25">
      <c r="B32" s="1" t="s">
        <v>12</v>
      </c>
      <c r="E32" s="4">
        <f>SUM(E30:E31)</f>
        <v>561</v>
      </c>
      <c r="F32" s="4"/>
      <c r="G32" s="4">
        <f>SUM(G30:G31)</f>
        <v>0</v>
      </c>
    </row>
    <row r="33" spans="1:7" x14ac:dyDescent="0.25">
      <c r="E33" s="3"/>
      <c r="F33" s="3"/>
      <c r="G33" s="3"/>
    </row>
    <row r="34" spans="1:7" ht="48" customHeight="1" thickBot="1" x14ac:dyDescent="0.3">
      <c r="A34" s="83" t="s">
        <v>36</v>
      </c>
      <c r="B34" s="83"/>
      <c r="C34" s="83"/>
      <c r="D34" s="26"/>
      <c r="E34" s="7">
        <f>E27-E32</f>
        <v>-526.80345999999997</v>
      </c>
      <c r="F34" s="4"/>
      <c r="G34" s="7">
        <f>G27-G32</f>
        <v>653.61533999999995</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91B4F-8D87-4A82-8B18-B57D6991E1B6}">
  <dimension ref="A1:E12"/>
  <sheetViews>
    <sheetView zoomScaleNormal="100" workbookViewId="0">
      <selection activeCell="D24" sqref="D24"/>
    </sheetView>
  </sheetViews>
  <sheetFormatPr baseColWidth="10" defaultColWidth="10.85546875" defaultRowHeight="15" x14ac:dyDescent="0.25"/>
  <cols>
    <col min="1" max="1" width="36.140625" customWidth="1"/>
    <col min="2" max="2" width="14.5703125" bestFit="1" customWidth="1"/>
    <col min="3" max="4" width="12" customWidth="1"/>
  </cols>
  <sheetData>
    <row r="1" spans="1:5" x14ac:dyDescent="0.25">
      <c r="A1" s="79" t="s">
        <v>152</v>
      </c>
      <c r="B1" s="79"/>
      <c r="C1" s="79"/>
      <c r="D1" s="79"/>
      <c r="E1" s="79"/>
    </row>
    <row r="2" spans="1:5" x14ac:dyDescent="0.25">
      <c r="B2" s="28" t="s">
        <v>104</v>
      </c>
      <c r="C2" s="28" t="s">
        <v>105</v>
      </c>
      <c r="D2" s="28" t="s">
        <v>94</v>
      </c>
      <c r="E2" s="28" t="s">
        <v>94</v>
      </c>
    </row>
    <row r="3" spans="1:5" x14ac:dyDescent="0.25">
      <c r="A3" t="s">
        <v>95</v>
      </c>
    </row>
    <row r="4" spans="1:5" x14ac:dyDescent="0.25">
      <c r="A4" s="30" t="s">
        <v>103</v>
      </c>
      <c r="B4">
        <v>90</v>
      </c>
      <c r="C4">
        <v>39.5</v>
      </c>
      <c r="D4">
        <f>ROUND(B4/25*C4,2)</f>
        <v>142.19999999999999</v>
      </c>
    </row>
    <row r="5" spans="1:5" x14ac:dyDescent="0.25">
      <c r="A5" s="30" t="s">
        <v>1</v>
      </c>
      <c r="B5">
        <v>60</v>
      </c>
      <c r="C5">
        <v>37.42</v>
      </c>
      <c r="D5">
        <f>ROUND(B5/25*C5,2)</f>
        <v>89.81</v>
      </c>
    </row>
    <row r="6" spans="1:5" x14ac:dyDescent="0.25">
      <c r="A6" t="s">
        <v>96</v>
      </c>
      <c r="E6">
        <f>SUM(D4:D5)</f>
        <v>232.01</v>
      </c>
    </row>
    <row r="7" spans="1:5" x14ac:dyDescent="0.25">
      <c r="A7" t="s">
        <v>106</v>
      </c>
      <c r="E7">
        <v>54.45</v>
      </c>
    </row>
    <row r="9" spans="1:5" x14ac:dyDescent="0.25">
      <c r="A9" t="s">
        <v>107</v>
      </c>
      <c r="E9">
        <f>E6+E7</f>
        <v>286.45999999999998</v>
      </c>
    </row>
    <row r="12" spans="1:5" ht="59.1" customHeight="1" x14ac:dyDescent="0.25">
      <c r="A12" s="77" t="s">
        <v>145</v>
      </c>
      <c r="B12" s="77"/>
      <c r="C12" s="77"/>
      <c r="D12" s="77"/>
      <c r="E12" s="77"/>
    </row>
  </sheetData>
  <mergeCells count="2">
    <mergeCell ref="A1:E1"/>
    <mergeCell ref="A12:E12"/>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B0033-4961-4677-8705-4148E3CE4ED7}">
  <dimension ref="A1:D9"/>
  <sheetViews>
    <sheetView zoomScaleNormal="100" workbookViewId="0"/>
  </sheetViews>
  <sheetFormatPr baseColWidth="10" defaultColWidth="10.85546875" defaultRowHeight="15" x14ac:dyDescent="0.25"/>
  <cols>
    <col min="1" max="1" width="23.85546875" bestFit="1" customWidth="1"/>
    <col min="2" max="2" width="19.85546875" bestFit="1" customWidth="1"/>
    <col min="3" max="3" width="13.140625" bestFit="1" customWidth="1"/>
    <col min="4" max="4" width="19.85546875" bestFit="1" customWidth="1"/>
  </cols>
  <sheetData>
    <row r="1" spans="1:4" x14ac:dyDescent="0.25">
      <c r="A1" s="1" t="s">
        <v>42</v>
      </c>
      <c r="B1" s="1" t="s">
        <v>39</v>
      </c>
      <c r="C1" s="1" t="s">
        <v>37</v>
      </c>
      <c r="D1" s="1" t="s">
        <v>38</v>
      </c>
    </row>
    <row r="2" spans="1:4" x14ac:dyDescent="0.25">
      <c r="A2" t="s">
        <v>148</v>
      </c>
      <c r="B2">
        <v>0</v>
      </c>
      <c r="C2">
        <v>0</v>
      </c>
      <c r="D2">
        <v>0</v>
      </c>
    </row>
    <row r="3" spans="1:4" x14ac:dyDescent="0.25">
      <c r="A3" t="s">
        <v>149</v>
      </c>
      <c r="B3">
        <v>0</v>
      </c>
      <c r="C3">
        <v>0</v>
      </c>
      <c r="D3">
        <v>0</v>
      </c>
    </row>
    <row r="4" spans="1:4" x14ac:dyDescent="0.25">
      <c r="A4" t="s">
        <v>0</v>
      </c>
      <c r="B4">
        <v>240.5</v>
      </c>
      <c r="C4">
        <v>240.12</v>
      </c>
      <c r="D4">
        <v>3.21</v>
      </c>
    </row>
    <row r="5" spans="1:4" x14ac:dyDescent="0.25">
      <c r="A5" t="s">
        <v>1</v>
      </c>
      <c r="B5">
        <v>272.29000000000002</v>
      </c>
      <c r="C5">
        <v>243.64</v>
      </c>
      <c r="D5">
        <v>2.8</v>
      </c>
    </row>
    <row r="6" spans="1:4" x14ac:dyDescent="0.25">
      <c r="A6" t="s">
        <v>40</v>
      </c>
      <c r="B6">
        <v>277.08999999999997</v>
      </c>
      <c r="C6">
        <v>276.01</v>
      </c>
      <c r="D6">
        <v>3.73</v>
      </c>
    </row>
    <row r="7" spans="1:4" x14ac:dyDescent="0.25">
      <c r="A7" t="s">
        <v>41</v>
      </c>
      <c r="B7">
        <v>257.52999999999997</v>
      </c>
      <c r="C7">
        <v>283.10000000000002</v>
      </c>
      <c r="D7">
        <v>3.56</v>
      </c>
    </row>
    <row r="8" spans="1:4" x14ac:dyDescent="0.25">
      <c r="A8" t="s">
        <v>112</v>
      </c>
      <c r="B8">
        <v>0</v>
      </c>
      <c r="C8">
        <v>0</v>
      </c>
      <c r="D8">
        <v>0</v>
      </c>
    </row>
    <row r="9" spans="1:4" x14ac:dyDescent="0.25">
      <c r="A9" t="s">
        <v>153</v>
      </c>
      <c r="B9">
        <v>0</v>
      </c>
      <c r="C9">
        <v>0</v>
      </c>
      <c r="D9">
        <v>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36199-A450-459E-A28B-EF856DFAB310}">
  <dimension ref="A1:E17"/>
  <sheetViews>
    <sheetView zoomScaleNormal="100" workbookViewId="0">
      <selection sqref="A1:B1"/>
    </sheetView>
  </sheetViews>
  <sheetFormatPr baseColWidth="10" defaultColWidth="10.85546875" defaultRowHeight="15" x14ac:dyDescent="0.25"/>
  <cols>
    <col min="1" max="1" width="17.85546875" customWidth="1"/>
    <col min="2" max="2" width="29.85546875" customWidth="1"/>
  </cols>
  <sheetData>
    <row r="1" spans="1:5" x14ac:dyDescent="0.25">
      <c r="A1" s="79" t="s">
        <v>18</v>
      </c>
      <c r="B1" s="79"/>
    </row>
    <row r="2" spans="1:5" x14ac:dyDescent="0.25">
      <c r="B2" s="2" t="s">
        <v>150</v>
      </c>
      <c r="C2" s="1"/>
      <c r="D2" s="1"/>
      <c r="E2" s="1"/>
    </row>
    <row r="3" spans="1:5" x14ac:dyDescent="0.25">
      <c r="A3" t="s">
        <v>148</v>
      </c>
      <c r="B3">
        <v>0.9</v>
      </c>
    </row>
    <row r="4" spans="1:5" x14ac:dyDescent="0.25">
      <c r="A4" t="s">
        <v>149</v>
      </c>
      <c r="B4">
        <v>1.6</v>
      </c>
    </row>
    <row r="5" spans="1:5" x14ac:dyDescent="0.25">
      <c r="A5" t="s">
        <v>0</v>
      </c>
      <c r="B5">
        <v>2.5</v>
      </c>
    </row>
    <row r="6" spans="1:5" x14ac:dyDescent="0.25">
      <c r="A6" t="s">
        <v>1</v>
      </c>
      <c r="B6">
        <v>2.2000000000000002</v>
      </c>
    </row>
    <row r="7" spans="1:5" x14ac:dyDescent="0.25">
      <c r="A7" t="s">
        <v>20</v>
      </c>
      <c r="B7">
        <f>ROUND(B8*1.25,1)</f>
        <v>3.5</v>
      </c>
    </row>
    <row r="8" spans="1:5" x14ac:dyDescent="0.25">
      <c r="A8" t="s">
        <v>21</v>
      </c>
      <c r="B8">
        <v>2.8</v>
      </c>
    </row>
    <row r="9" spans="1:5" x14ac:dyDescent="0.25">
      <c r="A9" t="s">
        <v>112</v>
      </c>
      <c r="B9">
        <v>2.1</v>
      </c>
    </row>
    <row r="10" spans="1:5" x14ac:dyDescent="0.25">
      <c r="A10" t="s">
        <v>159</v>
      </c>
      <c r="B10" s="38">
        <f>B7+1</f>
        <v>4.5</v>
      </c>
    </row>
    <row r="11" spans="1:5" x14ac:dyDescent="0.25">
      <c r="A11" t="s">
        <v>153</v>
      </c>
      <c r="B11" s="38">
        <v>3</v>
      </c>
    </row>
    <row r="13" spans="1:5" x14ac:dyDescent="0.25">
      <c r="A13" s="1" t="s">
        <v>23</v>
      </c>
      <c r="B13" t="str">
        <f>Saisies!B1&amp;" "&amp;Saisies!B2</f>
        <v>Périphérique Biologique</v>
      </c>
    </row>
    <row r="15" spans="1:5" x14ac:dyDescent="0.25">
      <c r="A15" s="58"/>
      <c r="B15" s="58"/>
    </row>
    <row r="17" spans="1:2" x14ac:dyDescent="0.25">
      <c r="A17" s="58"/>
      <c r="B17" s="58"/>
    </row>
  </sheetData>
  <mergeCells count="1">
    <mergeCell ref="A1:B1"/>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78EEC-E432-4E98-A6F6-E843FCD512EB}">
  <dimension ref="A1:H15"/>
  <sheetViews>
    <sheetView zoomScaleNormal="100" workbookViewId="0">
      <selection activeCell="C8" sqref="C8"/>
    </sheetView>
  </sheetViews>
  <sheetFormatPr baseColWidth="10" defaultColWidth="10.85546875" defaultRowHeight="15" x14ac:dyDescent="0.25"/>
  <cols>
    <col min="1" max="1" width="17.42578125" customWidth="1"/>
    <col min="2" max="2" width="22.42578125" bestFit="1" customWidth="1"/>
    <col min="3" max="3" width="22.42578125" customWidth="1"/>
  </cols>
  <sheetData>
    <row r="1" spans="1:8" x14ac:dyDescent="0.25">
      <c r="A1" s="79" t="s">
        <v>19</v>
      </c>
      <c r="B1" s="79"/>
      <c r="C1" s="2"/>
    </row>
    <row r="2" spans="1:8" x14ac:dyDescent="0.25">
      <c r="B2" s="2" t="s">
        <v>150</v>
      </c>
      <c r="C2" s="2"/>
    </row>
    <row r="3" spans="1:8" x14ac:dyDescent="0.25">
      <c r="A3" t="s">
        <v>148</v>
      </c>
      <c r="B3" s="3">
        <v>2935</v>
      </c>
      <c r="C3" s="3"/>
    </row>
    <row r="4" spans="1:8" x14ac:dyDescent="0.25">
      <c r="A4" t="s">
        <v>149</v>
      </c>
      <c r="B4" s="3">
        <v>1017.5</v>
      </c>
      <c r="C4" s="3"/>
    </row>
    <row r="5" spans="1:8" x14ac:dyDescent="0.25">
      <c r="A5" t="s">
        <v>0</v>
      </c>
      <c r="B5" s="3">
        <v>565</v>
      </c>
      <c r="C5" s="3"/>
    </row>
    <row r="6" spans="1:8" x14ac:dyDescent="0.25">
      <c r="A6" t="s">
        <v>1</v>
      </c>
      <c r="B6" s="3">
        <v>435</v>
      </c>
      <c r="C6" s="3"/>
    </row>
    <row r="7" spans="1:8" x14ac:dyDescent="0.25">
      <c r="A7" t="s">
        <v>20</v>
      </c>
      <c r="B7" s="3">
        <f>B8</f>
        <v>569.79999999999995</v>
      </c>
      <c r="C7" s="3"/>
    </row>
    <row r="8" spans="1:8" x14ac:dyDescent="0.25">
      <c r="A8" t="s">
        <v>21</v>
      </c>
      <c r="B8" s="3">
        <v>569.79999999999995</v>
      </c>
      <c r="C8" s="3"/>
    </row>
    <row r="9" spans="1:8" x14ac:dyDescent="0.25">
      <c r="A9" t="s">
        <v>112</v>
      </c>
      <c r="B9" s="3">
        <v>462.5</v>
      </c>
      <c r="C9" s="3"/>
    </row>
    <row r="10" spans="1:8" x14ac:dyDescent="0.25">
      <c r="A10" t="s">
        <v>73</v>
      </c>
      <c r="B10" s="3">
        <f>B9</f>
        <v>462.5</v>
      </c>
      <c r="C10" s="3"/>
    </row>
    <row r="11" spans="1:8" x14ac:dyDescent="0.25">
      <c r="A11" t="s">
        <v>153</v>
      </c>
      <c r="B11" s="3">
        <f>ROUND(((50+65)/2)/0.275,2)</f>
        <v>209.09</v>
      </c>
      <c r="C11" s="3"/>
      <c r="H11" s="47"/>
    </row>
    <row r="13" spans="1:8" x14ac:dyDescent="0.25">
      <c r="A13" s="1" t="s">
        <v>24</v>
      </c>
      <c r="B13" t="str">
        <f>Saisies!B1&amp;" "&amp;Saisies!B2</f>
        <v>Périphérique Biologique</v>
      </c>
    </row>
    <row r="15" spans="1:8" x14ac:dyDescent="0.25">
      <c r="A15" s="58"/>
      <c r="B15" s="58"/>
      <c r="C15" s="58"/>
    </row>
  </sheetData>
  <mergeCells count="1">
    <mergeCell ref="A1:B1"/>
  </mergeCells>
  <pageMargins left="0.7" right="0.7" top="0.75" bottom="0.75" header="0.3" footer="0.3"/>
  <legacy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39D80-73E6-4C99-9475-E2E6B7935F86}">
  <dimension ref="A1:CE33"/>
  <sheetViews>
    <sheetView workbookViewId="0"/>
  </sheetViews>
  <sheetFormatPr baseColWidth="10" defaultColWidth="10.85546875" defaultRowHeight="15" x14ac:dyDescent="0.25"/>
  <cols>
    <col min="1" max="3" width="13.140625" customWidth="1"/>
    <col min="4" max="5" width="11.5703125" customWidth="1"/>
    <col min="6" max="6" width="2.5703125" customWidth="1"/>
    <col min="7" max="8" width="11.5703125" customWidth="1"/>
    <col min="9" max="9" width="2.5703125" customWidth="1"/>
    <col min="10" max="11" width="11.5703125" customWidth="1"/>
    <col min="12" max="12" width="2.5703125" customWidth="1"/>
    <col min="13" max="14" width="11.5703125" customWidth="1"/>
    <col min="15" max="15" width="2.5703125" customWidth="1"/>
    <col min="16" max="17" width="11.5703125" customWidth="1"/>
    <col min="18" max="18" width="2.5703125" customWidth="1"/>
    <col min="19" max="20" width="11.5703125" customWidth="1"/>
    <col min="21" max="21" width="2.5703125" customWidth="1"/>
    <col min="22" max="23" width="11.5703125" customWidth="1"/>
    <col min="24" max="24" width="2.5703125" customWidth="1"/>
    <col min="25" max="26" width="11.5703125" customWidth="1"/>
    <col min="27" max="27" width="2.5703125" customWidth="1"/>
    <col min="28" max="29" width="11.5703125" customWidth="1"/>
    <col min="30" max="30" width="2.5703125" customWidth="1"/>
    <col min="33" max="33" width="2.5703125" customWidth="1"/>
    <col min="36" max="36" width="2.5703125" customWidth="1"/>
    <col min="39" max="39" width="2.5703125" customWidth="1"/>
    <col min="42" max="42" width="2.5703125" customWidth="1"/>
    <col min="45" max="45" width="2.5703125" customWidth="1"/>
    <col min="48" max="48" width="2.5703125" customWidth="1"/>
    <col min="49" max="50" width="11.5703125" customWidth="1"/>
    <col min="51" max="51" width="2.5703125" customWidth="1"/>
    <col min="52" max="53" width="11.5703125" customWidth="1"/>
    <col min="54" max="54" width="2.5703125" customWidth="1"/>
    <col min="55" max="56" width="11.5703125" customWidth="1"/>
    <col min="57" max="57" width="2.5703125" customWidth="1"/>
    <col min="60" max="60" width="2.5703125" customWidth="1"/>
    <col min="63" max="63" width="2.5703125" customWidth="1"/>
    <col min="66" max="66" width="2.5703125" customWidth="1"/>
    <col min="69" max="69" width="2.5703125" customWidth="1"/>
    <col min="72" max="72" width="2.5703125" customWidth="1"/>
    <col min="75" max="75" width="2.5703125" customWidth="1"/>
    <col min="76" max="77" width="11.5703125" customWidth="1"/>
    <col min="78" max="78" width="2.5703125" customWidth="1"/>
    <col min="79" max="80" width="11.5703125" customWidth="1"/>
    <col min="81" max="81" width="2.5703125" customWidth="1"/>
  </cols>
  <sheetData>
    <row r="1" spans="1:83" x14ac:dyDescent="0.25">
      <c r="D1" s="79" t="s">
        <v>109</v>
      </c>
      <c r="E1" s="79"/>
      <c r="F1" s="79"/>
      <c r="G1" s="79"/>
      <c r="H1" s="79"/>
      <c r="I1" s="79"/>
      <c r="J1" s="79"/>
      <c r="K1" s="79"/>
      <c r="L1" s="79"/>
      <c r="M1" s="79"/>
      <c r="N1" s="79"/>
      <c r="O1" s="79"/>
      <c r="P1" s="79"/>
      <c r="Q1" s="79"/>
      <c r="R1" s="79"/>
      <c r="S1" s="79"/>
      <c r="T1" s="79"/>
      <c r="U1" s="79"/>
      <c r="V1" s="79"/>
      <c r="W1" s="79"/>
      <c r="X1" s="79"/>
      <c r="Y1" s="79"/>
      <c r="Z1" s="79"/>
      <c r="AA1" s="79"/>
      <c r="AB1" s="79"/>
      <c r="AC1" s="84"/>
      <c r="AD1" s="37"/>
      <c r="AE1" s="85" t="s">
        <v>110</v>
      </c>
      <c r="AF1" s="79"/>
      <c r="AG1" s="79"/>
      <c r="AH1" s="79"/>
      <c r="AI1" s="79"/>
      <c r="AJ1" s="79"/>
      <c r="AK1" s="79"/>
      <c r="AL1" s="79"/>
      <c r="AM1" s="79"/>
      <c r="AN1" s="79"/>
      <c r="AO1" s="79"/>
      <c r="AP1" s="79"/>
      <c r="AQ1" s="79"/>
      <c r="AR1" s="79"/>
      <c r="AS1" s="79"/>
      <c r="AT1" s="79"/>
      <c r="AU1" s="79"/>
      <c r="AV1" s="79"/>
      <c r="AW1" s="79"/>
      <c r="AX1" s="79"/>
      <c r="AY1" s="79"/>
      <c r="AZ1" s="79"/>
      <c r="BA1" s="79"/>
      <c r="BB1" s="79"/>
      <c r="BC1" s="79"/>
      <c r="BD1" s="84"/>
      <c r="BE1" s="37"/>
      <c r="BF1" s="85" t="s">
        <v>114</v>
      </c>
      <c r="BG1" s="79"/>
      <c r="BH1" s="79"/>
      <c r="BI1" s="79"/>
      <c r="BJ1" s="79"/>
      <c r="BK1" s="79"/>
      <c r="BL1" s="79"/>
      <c r="BM1" s="79"/>
      <c r="BN1" s="79"/>
      <c r="BO1" s="79"/>
      <c r="BP1" s="79"/>
      <c r="BQ1" s="79"/>
      <c r="BR1" s="79"/>
      <c r="BS1" s="79"/>
      <c r="BT1" s="79"/>
      <c r="BU1" s="79"/>
      <c r="BV1" s="79"/>
      <c r="BW1" s="79"/>
      <c r="BX1" s="79"/>
      <c r="BY1" s="79"/>
      <c r="BZ1" s="79"/>
      <c r="CA1" s="79"/>
      <c r="CB1" s="79"/>
      <c r="CC1" s="79"/>
      <c r="CD1" s="79"/>
      <c r="CE1" s="79"/>
    </row>
    <row r="2" spans="1:83" x14ac:dyDescent="0.25">
      <c r="D2" s="2" t="str">
        <f>Saisies!B1</f>
        <v>Périphérique</v>
      </c>
      <c r="E2" s="2" t="s">
        <v>43</v>
      </c>
      <c r="G2" s="2" t="str">
        <f>D2</f>
        <v>Périphérique</v>
      </c>
      <c r="H2" s="2" t="s">
        <v>43</v>
      </c>
      <c r="J2" s="2" t="str">
        <f>G2</f>
        <v>Périphérique</v>
      </c>
      <c r="K2" s="2" t="s">
        <v>43</v>
      </c>
      <c r="M2" s="2" t="str">
        <f>J2</f>
        <v>Périphérique</v>
      </c>
      <c r="N2" s="2" t="s">
        <v>43</v>
      </c>
      <c r="P2" s="2" t="str">
        <f>M2</f>
        <v>Périphérique</v>
      </c>
      <c r="Q2" s="2" t="s">
        <v>43</v>
      </c>
      <c r="S2" s="2" t="str">
        <f>P2</f>
        <v>Périphérique</v>
      </c>
      <c r="T2" s="2" t="s">
        <v>43</v>
      </c>
      <c r="V2" s="2" t="str">
        <f>S2</f>
        <v>Périphérique</v>
      </c>
      <c r="W2" s="2" t="s">
        <v>43</v>
      </c>
      <c r="Y2" s="2" t="str">
        <f>V2</f>
        <v>Périphérique</v>
      </c>
      <c r="Z2" s="2" t="s">
        <v>43</v>
      </c>
      <c r="AB2" s="2" t="str">
        <f>Y2</f>
        <v>Périphérique</v>
      </c>
      <c r="AC2" s="2" t="str">
        <f>Z2</f>
        <v>Votre ferme</v>
      </c>
      <c r="AD2" s="37"/>
      <c r="AE2" s="31" t="str">
        <f>D2</f>
        <v>Périphérique</v>
      </c>
      <c r="AF2" s="2" t="s">
        <v>43</v>
      </c>
      <c r="AH2" s="2" t="str">
        <f>AE2</f>
        <v>Périphérique</v>
      </c>
      <c r="AI2" s="2" t="s">
        <v>43</v>
      </c>
      <c r="AK2" s="2" t="str">
        <f>AH2</f>
        <v>Périphérique</v>
      </c>
      <c r="AL2" s="2" t="s">
        <v>43</v>
      </c>
      <c r="AN2" s="2" t="str">
        <f>AK2</f>
        <v>Périphérique</v>
      </c>
      <c r="AO2" s="2" t="s">
        <v>43</v>
      </c>
      <c r="AQ2" s="2" t="str">
        <f>AN2</f>
        <v>Périphérique</v>
      </c>
      <c r="AR2" s="2" t="s">
        <v>43</v>
      </c>
      <c r="AT2" s="2" t="str">
        <f>AQ2</f>
        <v>Périphérique</v>
      </c>
      <c r="AU2" s="2" t="s">
        <v>43</v>
      </c>
      <c r="AW2" s="2" t="str">
        <f>AT2</f>
        <v>Périphérique</v>
      </c>
      <c r="AX2" s="2" t="str">
        <f>AU2</f>
        <v>Votre ferme</v>
      </c>
      <c r="AZ2" s="2" t="str">
        <f>AW2</f>
        <v>Périphérique</v>
      </c>
      <c r="BA2" s="2" t="str">
        <f>AX2</f>
        <v>Votre ferme</v>
      </c>
      <c r="BC2" s="2" t="str">
        <f>AZ2</f>
        <v>Périphérique</v>
      </c>
      <c r="BD2" s="2" t="str">
        <f>BA2</f>
        <v>Votre ferme</v>
      </c>
      <c r="BE2" s="37"/>
      <c r="BF2" s="31" t="str">
        <f>AE2</f>
        <v>Périphérique</v>
      </c>
      <c r="BG2" s="2" t="s">
        <v>43</v>
      </c>
      <c r="BI2" s="2" t="str">
        <f>BF2</f>
        <v>Périphérique</v>
      </c>
      <c r="BJ2" s="2" t="s">
        <v>43</v>
      </c>
      <c r="BL2" s="2" t="str">
        <f>BI2</f>
        <v>Périphérique</v>
      </c>
      <c r="BM2" s="2" t="s">
        <v>43</v>
      </c>
      <c r="BO2" s="2" t="str">
        <f>BL2</f>
        <v>Périphérique</v>
      </c>
      <c r="BP2" s="2" t="s">
        <v>43</v>
      </c>
      <c r="BR2" s="2" t="str">
        <f>BO2</f>
        <v>Périphérique</v>
      </c>
      <c r="BS2" s="2" t="s">
        <v>43</v>
      </c>
      <c r="BU2" s="2" t="str">
        <f>BR2</f>
        <v>Périphérique</v>
      </c>
      <c r="BV2" s="2" t="s">
        <v>43</v>
      </c>
      <c r="BX2" s="2" t="str">
        <f>BU2</f>
        <v>Périphérique</v>
      </c>
      <c r="BY2" s="2" t="str">
        <f>BV2</f>
        <v>Votre ferme</v>
      </c>
      <c r="CA2" s="2" t="str">
        <f>BX2</f>
        <v>Périphérique</v>
      </c>
      <c r="CB2" s="2" t="str">
        <f>BY2</f>
        <v>Votre ferme</v>
      </c>
      <c r="CD2" s="2" t="str">
        <f>CA2</f>
        <v>Périphérique</v>
      </c>
      <c r="CE2" s="2" t="str">
        <f>CB2</f>
        <v>Votre ferme</v>
      </c>
    </row>
    <row r="3" spans="1:83" ht="15.75" x14ac:dyDescent="0.25">
      <c r="D3" s="23" t="s">
        <v>148</v>
      </c>
      <c r="E3" s="22" t="s">
        <v>148</v>
      </c>
      <c r="G3" s="23" t="s">
        <v>149</v>
      </c>
      <c r="H3" s="22" t="s">
        <v>149</v>
      </c>
      <c r="J3" s="23" t="s">
        <v>0</v>
      </c>
      <c r="K3" s="22" t="s">
        <v>0</v>
      </c>
      <c r="M3" s="23" t="s">
        <v>1</v>
      </c>
      <c r="N3" s="22" t="s">
        <v>1</v>
      </c>
      <c r="P3" s="23" t="s">
        <v>20</v>
      </c>
      <c r="Q3" s="22" t="str">
        <f>P3</f>
        <v>Blé d'automne</v>
      </c>
      <c r="S3" s="23" t="s">
        <v>21</v>
      </c>
      <c r="T3" s="22" t="s">
        <v>21</v>
      </c>
      <c r="V3" s="23" t="s">
        <v>112</v>
      </c>
      <c r="W3" s="22" t="s">
        <v>112</v>
      </c>
      <c r="Y3" s="23" t="s">
        <v>73</v>
      </c>
      <c r="Z3" s="22" t="s">
        <v>73</v>
      </c>
      <c r="AB3" s="23" t="s">
        <v>153</v>
      </c>
      <c r="AC3" s="22" t="s">
        <v>153</v>
      </c>
      <c r="AD3" s="37"/>
      <c r="AE3" s="32" t="s">
        <v>148</v>
      </c>
      <c r="AF3" s="22" t="s">
        <v>148</v>
      </c>
      <c r="AH3" s="23" t="s">
        <v>149</v>
      </c>
      <c r="AI3" s="22" t="s">
        <v>149</v>
      </c>
      <c r="AK3" s="23" t="s">
        <v>0</v>
      </c>
      <c r="AL3" s="22" t="s">
        <v>0</v>
      </c>
      <c r="AN3" s="23" t="s">
        <v>1</v>
      </c>
      <c r="AO3" s="22" t="s">
        <v>1</v>
      </c>
      <c r="AQ3" s="23" t="s">
        <v>20</v>
      </c>
      <c r="AR3" s="22" t="str">
        <f>AQ3</f>
        <v>Blé d'automne</v>
      </c>
      <c r="AT3" s="23" t="s">
        <v>21</v>
      </c>
      <c r="AU3" s="22" t="s">
        <v>21</v>
      </c>
      <c r="AW3" s="23" t="s">
        <v>112</v>
      </c>
      <c r="AX3" s="22" t="s">
        <v>112</v>
      </c>
      <c r="AZ3" s="23" t="s">
        <v>73</v>
      </c>
      <c r="BA3" s="22" t="s">
        <v>73</v>
      </c>
      <c r="BC3" s="23" t="s">
        <v>153</v>
      </c>
      <c r="BD3" s="22" t="s">
        <v>153</v>
      </c>
      <c r="BE3" s="37"/>
      <c r="BF3" s="32" t="s">
        <v>148</v>
      </c>
      <c r="BG3" s="22" t="s">
        <v>148</v>
      </c>
      <c r="BI3" s="23" t="s">
        <v>149</v>
      </c>
      <c r="BJ3" s="22" t="s">
        <v>149</v>
      </c>
      <c r="BL3" s="23" t="s">
        <v>0</v>
      </c>
      <c r="BM3" s="22" t="s">
        <v>0</v>
      </c>
      <c r="BO3" s="23" t="s">
        <v>1</v>
      </c>
      <c r="BP3" s="22" t="s">
        <v>1</v>
      </c>
      <c r="BR3" s="23" t="s">
        <v>20</v>
      </c>
      <c r="BS3" s="22" t="str">
        <f>BR3</f>
        <v>Blé d'automne</v>
      </c>
      <c r="BU3" s="23" t="s">
        <v>21</v>
      </c>
      <c r="BV3" s="22" t="s">
        <v>21</v>
      </c>
      <c r="BX3" s="23" t="s">
        <v>112</v>
      </c>
      <c r="BY3" s="22" t="s">
        <v>112</v>
      </c>
      <c r="CA3" s="23" t="s">
        <v>73</v>
      </c>
      <c r="CB3" s="22" t="s">
        <v>73</v>
      </c>
      <c r="CD3" s="23" t="s">
        <v>153</v>
      </c>
      <c r="CE3" s="22" t="s">
        <v>153</v>
      </c>
    </row>
    <row r="4" spans="1:83" x14ac:dyDescent="0.25">
      <c r="A4" s="8" t="s">
        <v>9</v>
      </c>
      <c r="AD4" s="37"/>
      <c r="AE4" s="33"/>
      <c r="BE4" s="37"/>
      <c r="BF4" s="33"/>
    </row>
    <row r="5" spans="1:83" x14ac:dyDescent="0.25">
      <c r="A5" t="s">
        <v>44</v>
      </c>
      <c r="D5" s="3">
        <f>Chanvre!E5*(1+Saisies!B41*Saisies!B62)</f>
        <v>2641.5</v>
      </c>
      <c r="E5" s="3">
        <f>IF(Chanvre!G5="",'Intermédiaire_Prod-Résultats'!D5,Chanvre!G5)*(1+IF(Saisies!C41="",Saisies!B41,Saisies!C41)*IF(Saisies!C62="",Saisies!B62,Saisies!C62))</f>
        <v>2641.5</v>
      </c>
      <c r="G5" s="3">
        <f>Sarrasin!E5*(1+Saisies!B42*Saisies!B62)</f>
        <v>1628</v>
      </c>
      <c r="H5" s="3">
        <f>IF(Sarrasin!G5="",'Intermédiaire_Prod-Résultats'!G5,Sarrasin!G5)*(1+IF(Saisies!C42="",Saisies!B42,Saisies!C42)*IF(Saisies!C62="",Saisies!B62,Saisies!C62))</f>
        <v>1628</v>
      </c>
      <c r="J5" s="3">
        <f>Orge!E5*(1+Saisies!B43*Saisies!B62)</f>
        <v>1412.5</v>
      </c>
      <c r="K5" s="3">
        <f>IF(Orge!G5="",'Intermédiaire_Prod-Résultats'!J5,Orge!G5)*(1+IF(Saisies!C43="",Saisies!B43,Saisies!C43)*IF(Saisies!C62="",Saisies!B62,Saisies!C62))</f>
        <v>1412.5</v>
      </c>
      <c r="M5" s="3">
        <f>Avoine!E5*(1+Saisies!B44*Saisies!B62)</f>
        <v>957.00000000000011</v>
      </c>
      <c r="N5" s="3">
        <f>IF(Avoine!G5="",'Intermédiaire_Prod-Résultats'!M5,Avoine!G5)*(1+IF(Saisies!C44="",Saisies!B44,Saisies!C44)*IF(Saisies!C62="",Saisies!B62,Saisies!C62))</f>
        <v>957.00000000000011</v>
      </c>
      <c r="P5" s="3">
        <f>'Blé_d''automne'!E5*(1+Saisies!B46*Saisies!B62)</f>
        <v>1994.2999999999997</v>
      </c>
      <c r="Q5" s="3">
        <f>IF('Blé_d''automne'!G5="",'Intermédiaire_Prod-Résultats'!P5,'Blé_d''automne'!G5)*(1+IF(Saisies!C46="",Saisies!B46,Saisies!C46)*IF(Saisies!C62="",Saisies!B62,Saisies!C62))</f>
        <v>1994.2999999999997</v>
      </c>
      <c r="S5" s="3">
        <f>Blé_printemps!E5*(1+Saisies!B45*Saisies!B62)</f>
        <v>1595.4399999999998</v>
      </c>
      <c r="T5" s="3">
        <f>IF(Blé_printemps!G5="",'Intermédiaire_Prod-Résultats'!S5,Blé_printemps!G5)*(1+IF(Saisies!C45="",Saisies!B45,Saisies!C45)*IF(Saisies!C62="",Saisies!B62,Saisies!C62))</f>
        <v>1595.4399999999998</v>
      </c>
      <c r="V5" s="3">
        <f>Seigle!E5*(1+Saisies!B47*Saisies!B62)</f>
        <v>971.25</v>
      </c>
      <c r="W5" s="3">
        <f>IF(Seigle!G5="",'Intermédiaire_Prod-Résultats'!V5,Seigle!G5)*(1+IF(Saisies!C47="",Saisies!B47,Saisies!C47)*IF(Saisies!C62="",Saisies!B62,Saisies!C62))</f>
        <v>971.25</v>
      </c>
      <c r="Y5" s="3">
        <f>Seigle_hybride!E5*(1+Saisies!B48*Saisies!B62)</f>
        <v>2081.25</v>
      </c>
      <c r="Z5" s="3">
        <f>IF(Seigle_hybride!G5="",'Intermédiaire_Prod-Résultats'!Y5,Seigle_hybride!G5)*(1+IF(Saisies!C48="",Saisies!B48,Saisies!C48)*IF(Saisies!C62="",Saisies!B62,Saisies!C62))</f>
        <v>2081.25</v>
      </c>
      <c r="AB5" s="3">
        <f>Prairie!E5*(1+Saisies!B49*Saisies!B62)</f>
        <v>627.27</v>
      </c>
      <c r="AC5" s="3">
        <f>IF(Prairie!G5="",'Intermédiaire_Prod-Résultats'!AB5,Prairie!G5)*(1+IF(Saisies!C49="",Saisies!B49,Saisies!C49)*IF(Saisies!C62="",Saisies!B62,Saisies!C62))</f>
        <v>627.27</v>
      </c>
      <c r="AD5" s="37"/>
      <c r="AE5" s="34">
        <f>Chanvre!E5*(1+Saisies!B41*Saisies!B63)</f>
        <v>2641.5</v>
      </c>
      <c r="AF5" s="3">
        <f>IF(Chanvre!G5="",'Intermédiaire_Prod-Résultats'!AE5,Chanvre!G5)*(1+IF(Saisies!C41="",Saisies!B41,Saisies!C41)*IF(Saisies!C63="",Saisies!B63,Saisies!C63))</f>
        <v>2641.5</v>
      </c>
      <c r="AH5" s="3">
        <f>Sarrasin!E5*(1+Saisies!B42*Saisies!B63)</f>
        <v>1628</v>
      </c>
      <c r="AI5" s="3">
        <f>IF(Sarrasin!G5="",'Intermédiaire_Prod-Résultats'!AH5,Sarrasin!G5)*(1+IF(Saisies!C42="",Saisies!B42,Saisies!C42)*IF(Saisies!C63="",Saisies!B63,Saisies!C63))</f>
        <v>1628</v>
      </c>
      <c r="AK5" s="3">
        <f>Orge!E5*(1+Saisies!B43*Saisies!B63)</f>
        <v>1412.5</v>
      </c>
      <c r="AL5" s="3">
        <f>IF(Orge!G5="",'Intermédiaire_Prod-Résultats'!AK5,Orge!G5)*(1+IF(Saisies!C43="",Saisies!B43,Saisies!C43)*IF(Saisies!C63="",Saisies!B63,Saisies!C63))</f>
        <v>1412.5</v>
      </c>
      <c r="AN5" s="3">
        <f>Avoine!E5*(1+Saisies!B44*Saisies!B63)</f>
        <v>957.00000000000011</v>
      </c>
      <c r="AO5" s="3">
        <f>IF(Avoine!G5="",'Intermédiaire_Prod-Résultats'!AN5,Avoine!G5)*(1+IF(Saisies!C44="",Saisies!B44,Saisies!C44)*IF(Saisies!C63="",Saisies!B63,Saisies!C63))</f>
        <v>957.00000000000011</v>
      </c>
      <c r="AQ5" s="3">
        <f>'Blé_d''automne'!E5*(1+Saisies!B46*Saisies!B63)</f>
        <v>1994.2999999999997</v>
      </c>
      <c r="AR5" s="3">
        <f>IF('Blé_d''automne'!G5="",'Intermédiaire_Prod-Résultats'!AQ5,'Blé_d''automne'!G5)*(1+IF(Saisies!C46="",Saisies!B46,Saisies!C46)*IF(Saisies!C63="",Saisies!B63,Saisies!C63))</f>
        <v>1994.2999999999997</v>
      </c>
      <c r="AT5" s="3">
        <f>Blé_printemps!E5*(1+Saisies!B45*Saisies!B63)</f>
        <v>1595.4399999999998</v>
      </c>
      <c r="AU5" s="3">
        <f>IF(Blé_printemps!G5="",'Intermédiaire_Prod-Résultats'!AT5,Blé_printemps!G5)*(1+IF(Saisies!C45="",Saisies!B45,Saisies!C45)*IF(Saisies!C63="",Saisies!B63,Saisies!C63))</f>
        <v>1595.4399999999998</v>
      </c>
      <c r="AW5" s="3">
        <f>Seigle!E5*(1+Saisies!B47*Saisies!B63)</f>
        <v>971.25</v>
      </c>
      <c r="AX5" s="3">
        <f>IF(Seigle!G5="",'Intermédiaire_Prod-Résultats'!AW5,Seigle!G5)*(1+IF(Saisies!C47="",Saisies!B47,Saisies!C47)*IF(Saisies!C63="",Saisies!B63,Saisies!C63))</f>
        <v>971.25</v>
      </c>
      <c r="AZ5" s="3">
        <f>Seigle_hybride!E5*(1+Saisies!B48*Saisies!B63)</f>
        <v>2081.25</v>
      </c>
      <c r="BA5" s="3">
        <f>IF(Seigle_hybride!G5="",'Intermédiaire_Prod-Résultats'!AZ5,Seigle_hybride!G5)*(1+IF(Saisies!C48="",Saisies!B48,Saisies!C48)*IF(Saisies!C63="",Saisies!B63,Saisies!C63))</f>
        <v>2081.25</v>
      </c>
      <c r="BC5" s="3">
        <f>Prairie!E5*(1+Saisies!B49*Saisies!B63)</f>
        <v>627.27</v>
      </c>
      <c r="BD5" s="3">
        <f>IF(Prairie!G5="",'Intermédiaire_Prod-Résultats'!BC5,Prairie!G5)*(1+IF(Saisies!C49="",Saisies!B49,Saisies!C49)*IF(Saisies!C63="",Saisies!B63,Saisies!C63))</f>
        <v>627.27</v>
      </c>
      <c r="BE5" s="37"/>
      <c r="BF5" s="34">
        <f>Chanvre!E5*(1+Saisies!B41*Saisies!B64)</f>
        <v>2641.5</v>
      </c>
      <c r="BG5" s="3">
        <f>IF(Chanvre!G5="",IF(Saisies!C8="",Saisies!B8,Saisies!C8)*IF(Saisies!C22="",Saisies!B22,Saisies!C22),Chanvre!G5)*(1+IF(Saisies!C41="",Saisies!B41,Saisies!C41)*IF(Saisies!C64="",Saisies!B64,Saisies!C64))</f>
        <v>2641.5</v>
      </c>
      <c r="BI5" s="3">
        <f>Sarrasin!E5*(1+Saisies!B42*Saisies!B64)</f>
        <v>1628</v>
      </c>
      <c r="BJ5" s="3">
        <f>IF(Sarrasin!G5="",'Intermédiaire_Prod-Résultats'!BI5,Sarrasin!G5)*(1+IF(Saisies!C42="",Saisies!B42,Saisies!C42)*IF(Saisies!C64="",Saisies!B64,Saisies!C64))</f>
        <v>1628</v>
      </c>
      <c r="BL5" s="3">
        <f>Orge!E5*(1+Saisies!B43*Saisies!B64)</f>
        <v>1412.5</v>
      </c>
      <c r="BM5" s="3">
        <f>IF(Orge!G5="",'Intermédiaire_Prod-Résultats'!BL5,Orge!G5)*(1+IF(Saisies!C43="",Saisies!B43,Saisies!C43)*IF(Saisies!C64="",Saisies!B64,Saisies!C64))</f>
        <v>1412.5</v>
      </c>
      <c r="BO5" s="3">
        <f>Avoine!E5*(1+Saisies!B44*Saisies!B64)</f>
        <v>957.00000000000011</v>
      </c>
      <c r="BP5" s="3">
        <f>IF(Avoine!G5="",'Intermédiaire_Prod-Résultats'!BO5,Avoine!G5)*(1+IF(Saisies!C44="",Saisies!B44,Saisies!C44)*IF(Saisies!C64="",Saisies!B64,Saisies!C64))</f>
        <v>957.00000000000011</v>
      </c>
      <c r="BR5" s="3">
        <f>'Blé_d''automne'!E5*(1+Saisies!B46*Saisies!B64)</f>
        <v>1994.2999999999997</v>
      </c>
      <c r="BS5" s="3">
        <f>IF('Blé_d''automne'!G5="",'Intermédiaire_Prod-Résultats'!BR5,'Blé_d''automne'!G5)*(1+IF(Saisies!C46="",Saisies!B46,Saisies!C46)*IF(Saisies!C64="",Saisies!B64,Saisies!C64))</f>
        <v>1994.2999999999997</v>
      </c>
      <c r="BU5" s="3">
        <f>Blé_printemps!E5*(1+Saisies!B45*Saisies!B64)</f>
        <v>1595.4399999999998</v>
      </c>
      <c r="BV5" s="3">
        <f>IF(Blé_printemps!G5="",'Intermédiaire_Prod-Résultats'!BU5,Blé_printemps!G5)*(1+IF(Saisies!C45="",Saisies!B45,Saisies!C45)*IF(Saisies!C64="",Saisies!B64,Saisies!C64))</f>
        <v>1595.4399999999998</v>
      </c>
      <c r="BX5" s="3">
        <f>Seigle!E5*(1+Saisies!B47*Saisies!B64)</f>
        <v>971.25</v>
      </c>
      <c r="BY5" s="3">
        <f>IF(Seigle!G5="",'Intermédiaire_Prod-Résultats'!BX5,Seigle!G5)*(1+IF(Saisies!C47="",Saisies!B47,Saisies!C47)*IF(Saisies!C64="",Saisies!B64,Saisies!C64))</f>
        <v>971.25</v>
      </c>
      <c r="CA5" s="3">
        <f>Seigle_hybride!E5*(1+Saisies!B48*Saisies!B64)</f>
        <v>2081.25</v>
      </c>
      <c r="CB5" s="3">
        <f>IF(Seigle_hybride!G5="",'Intermédiaire_Prod-Résultats'!CA5,Seigle_hybride!G5)*(1+IF(Saisies!C48="",Saisies!B48,Saisies!C48)*IF(Saisies!C64="",Saisies!B64,Saisies!C64))</f>
        <v>2081.25</v>
      </c>
      <c r="CD5" s="3">
        <f>Prairie!E5*(1+Saisies!B49*Saisies!B64)</f>
        <v>627.27</v>
      </c>
      <c r="CE5" s="3">
        <f>IF(Prairie!G5="",'Intermédiaire_Prod-Résultats'!CD5,Prairie!G5)*(1+IF(Saisies!C49="",Saisies!B49,Saisies!C49)*IF(Saisies!C64="",Saisies!B64,Saisies!C64))</f>
        <v>627.27</v>
      </c>
    </row>
    <row r="6" spans="1:83" x14ac:dyDescent="0.25">
      <c r="A6" t="s">
        <v>8</v>
      </c>
      <c r="D6" s="3">
        <f>Chanvre!E6</f>
        <v>0</v>
      </c>
      <c r="E6" s="3">
        <f>IF(Chanvre!G6="",'Intermédiaire_Prod-Résultats'!D6,Chanvre!G6)</f>
        <v>0</v>
      </c>
      <c r="G6" s="3">
        <f>Sarrasin!E6</f>
        <v>0</v>
      </c>
      <c r="H6" s="3">
        <f>IF(Sarrasin!G6="",'Intermédiaire_Prod-Résultats'!G6,Sarrasin!G6)</f>
        <v>0</v>
      </c>
      <c r="J6" s="3">
        <f>Orge!E6</f>
        <v>0</v>
      </c>
      <c r="K6" s="3">
        <f>IF(Orge!G6="",'Intermédiaire_Prod-Résultats'!J6,Orge!G6)</f>
        <v>0</v>
      </c>
      <c r="M6" s="3">
        <f>Avoine!E6</f>
        <v>0</v>
      </c>
      <c r="N6" s="3">
        <f>IF(Avoine!G6="",'Intermédiaire_Prod-Résultats'!M6,Avoine!G6)</f>
        <v>0</v>
      </c>
      <c r="P6" s="3">
        <f>'Blé_d''automne'!E6</f>
        <v>0</v>
      </c>
      <c r="Q6" s="3">
        <f>IF('Blé_d''automne'!G6="",'Intermédiaire_Prod-Résultats'!P6,'Blé_d''automne'!G6)</f>
        <v>0</v>
      </c>
      <c r="S6" s="3">
        <f>Blé_printemps!E6</f>
        <v>0</v>
      </c>
      <c r="T6" s="3">
        <f>IF(Blé_printemps!G6="",'Intermédiaire_Prod-Résultats'!S6,Blé_printemps!G6)</f>
        <v>0</v>
      </c>
      <c r="V6" s="3">
        <f>Seigle!E6</f>
        <v>0</v>
      </c>
      <c r="W6" s="3">
        <f>IF(Seigle!G6="",'Intermédiaire_Prod-Résultats'!V6,Seigle!G6)</f>
        <v>0</v>
      </c>
      <c r="Y6" s="3">
        <f>Seigle_hybride!E6</f>
        <v>0</v>
      </c>
      <c r="Z6" s="3">
        <f>IF(Seigle_hybride!G6="",'Intermédiaire_Prod-Résultats'!Y6,Seigle_hybride!G6)</f>
        <v>0</v>
      </c>
      <c r="AB6" s="3">
        <f>Prairie!E6</f>
        <v>0</v>
      </c>
      <c r="AC6" s="3">
        <f>IF(Prairie!G6="",'Intermédiaire_Prod-Résultats'!AB6,Prairie!G6)</f>
        <v>0</v>
      </c>
      <c r="AD6" s="37"/>
      <c r="AE6" s="34">
        <f>Chanvre!E6</f>
        <v>0</v>
      </c>
      <c r="AF6" s="3">
        <f>IF(Chanvre!G6="",'Intermédiaire_Prod-Résultats'!AE6,Chanvre!G6)</f>
        <v>0</v>
      </c>
      <c r="AH6" s="3">
        <f>Sarrasin!E6</f>
        <v>0</v>
      </c>
      <c r="AI6" s="3">
        <f>IF(Sarrasin!G6="",'Intermédiaire_Prod-Résultats'!AH6,Sarrasin!G6)</f>
        <v>0</v>
      </c>
      <c r="AK6" s="3">
        <f>Orge!E6</f>
        <v>0</v>
      </c>
      <c r="AL6" s="3">
        <f>IF(Orge!G6="",'Intermédiaire_Prod-Résultats'!AK6,Orge!G6)</f>
        <v>0</v>
      </c>
      <c r="AN6" s="3">
        <f>Avoine!E6</f>
        <v>0</v>
      </c>
      <c r="AO6" s="3">
        <f>IF(Avoine!G6="",'Intermédiaire_Prod-Résultats'!AN6,Avoine!G6)</f>
        <v>0</v>
      </c>
      <c r="AQ6" s="3">
        <f>'Blé_d''automne'!E6</f>
        <v>0</v>
      </c>
      <c r="AR6" s="3">
        <f>IF('Blé_d''automne'!G6="",'Intermédiaire_Prod-Résultats'!AQ6,'Blé_d''automne'!G6)</f>
        <v>0</v>
      </c>
      <c r="AT6" s="3">
        <f>Blé_printemps!E6</f>
        <v>0</v>
      </c>
      <c r="AU6" s="3">
        <f>IF(Blé_printemps!G6="",'Intermédiaire_Prod-Résultats'!AT6,Blé_printemps!G6)</f>
        <v>0</v>
      </c>
      <c r="AW6" s="3">
        <f>Seigle!E6</f>
        <v>0</v>
      </c>
      <c r="AX6" s="3">
        <f>IF(Seigle_hybride!G6="",'Intermédiaire_Prod-Résultats'!AW6,Seigle_hybride!G6)</f>
        <v>0</v>
      </c>
      <c r="AZ6" s="3">
        <f>Seigle_hybride!E6</f>
        <v>0</v>
      </c>
      <c r="BA6" s="3">
        <f>IF(Seigle_hybride!G6="",'Intermédiaire_Prod-Résultats'!AZ6,Seigle_hybride!G6)</f>
        <v>0</v>
      </c>
      <c r="BC6" s="3">
        <f>Prairie!E6</f>
        <v>0</v>
      </c>
      <c r="BD6" s="3">
        <f>IF(Prairie!G6="",'Intermédiaire_Prod-Résultats'!BC6,Prairie!G6)</f>
        <v>0</v>
      </c>
      <c r="BE6" s="37"/>
      <c r="BF6" s="34">
        <f>Chanvre!E6</f>
        <v>0</v>
      </c>
      <c r="BG6" s="3">
        <f>IF(Chanvre!G6="",'Intermédiaire_Prod-Résultats'!BF6,Chanvre!G6)</f>
        <v>0</v>
      </c>
      <c r="BI6" s="3">
        <f>Sarrasin!E6</f>
        <v>0</v>
      </c>
      <c r="BJ6" s="3">
        <f>IF(Sarrasin!G6="",'Intermédiaire_Prod-Résultats'!BI6,Sarrasin!G6)</f>
        <v>0</v>
      </c>
      <c r="BL6" s="3">
        <f>Orge!E6</f>
        <v>0</v>
      </c>
      <c r="BM6" s="3">
        <f>IF(Orge!G6="",'Intermédiaire_Prod-Résultats'!BL6,Orge!G6)</f>
        <v>0</v>
      </c>
      <c r="BO6" s="3">
        <f>Avoine!E6</f>
        <v>0</v>
      </c>
      <c r="BP6" s="3">
        <f>IF(Avoine!G6="",'Intermédiaire_Prod-Résultats'!BO6,Avoine!G6)</f>
        <v>0</v>
      </c>
      <c r="BR6" s="3">
        <f>'Blé_d''automne'!E6</f>
        <v>0</v>
      </c>
      <c r="BS6" s="3">
        <f>IF('Blé_d''automne'!G6="",'Intermédiaire_Prod-Résultats'!BR6,'Blé_d''automne'!G6)</f>
        <v>0</v>
      </c>
      <c r="BU6" s="3">
        <f>Blé_printemps!E6</f>
        <v>0</v>
      </c>
      <c r="BV6" s="3">
        <f>IF(Blé_printemps!G6="",'Intermédiaire_Prod-Résultats'!BU6,Blé_printemps!G6)</f>
        <v>0</v>
      </c>
      <c r="BX6" s="3">
        <f>Seigle!E6</f>
        <v>0</v>
      </c>
      <c r="BY6" s="3">
        <f>IF(Seigle!G6="",'Intermédiaire_Prod-Résultats'!BX6,Seigle!G6)</f>
        <v>0</v>
      </c>
      <c r="CA6" s="3">
        <f>Seigle_hybride!E6</f>
        <v>0</v>
      </c>
      <c r="CB6" s="3">
        <f>IF(Seigle_hybride!G6="",'Intermédiaire_Prod-Résultats'!CA6,Seigle_hybride!G6)</f>
        <v>0</v>
      </c>
      <c r="CD6" s="3">
        <f>Prairie!E6</f>
        <v>0</v>
      </c>
      <c r="CE6" s="3">
        <f>IF(Prairie!G6="",'Intermédiaire_Prod-Résultats'!CD6,Prairie!G6)</f>
        <v>0</v>
      </c>
    </row>
    <row r="7" spans="1:83" x14ac:dyDescent="0.25">
      <c r="A7" t="s">
        <v>14</v>
      </c>
      <c r="D7" s="3">
        <f>Chanvre!E7</f>
        <v>0</v>
      </c>
      <c r="E7" s="3">
        <f>IF(Chanvre!G7="",'Intermédiaire_Prod-Résultats'!D7,Chanvre!G7)</f>
        <v>0</v>
      </c>
      <c r="G7" s="3">
        <f>Sarrasin!E7</f>
        <v>0</v>
      </c>
      <c r="H7" s="3">
        <f>IF(Sarrasin!G7="",'Intermédiaire_Prod-Résultats'!G7,Sarrasin!G7)</f>
        <v>0</v>
      </c>
      <c r="J7" s="3">
        <f>Orge!E7</f>
        <v>0</v>
      </c>
      <c r="K7" s="3">
        <f>IF(Orge!G7="",'Intermédiaire_Prod-Résultats'!J7,Orge!G7)</f>
        <v>0</v>
      </c>
      <c r="M7" s="3">
        <f>Avoine!E7</f>
        <v>0</v>
      </c>
      <c r="N7" s="3">
        <f>IF(Avoine!G7="",'Intermédiaire_Prod-Résultats'!M7,Avoine!G7)</f>
        <v>0</v>
      </c>
      <c r="P7" s="3">
        <f>'Blé_d''automne'!E7</f>
        <v>0</v>
      </c>
      <c r="Q7" s="3">
        <f>IF('Blé_d''automne'!G7="",'Intermédiaire_Prod-Résultats'!P7,'Blé_d''automne'!G7)</f>
        <v>0</v>
      </c>
      <c r="S7" s="3">
        <f>Blé_printemps!E7</f>
        <v>0</v>
      </c>
      <c r="T7" s="3">
        <f>IF(Blé_printemps!G7="",'Intermédiaire_Prod-Résultats'!S7,Blé_printemps!G7)</f>
        <v>0</v>
      </c>
      <c r="V7" s="3">
        <f>Seigle!E7</f>
        <v>0</v>
      </c>
      <c r="W7" s="3">
        <f>IF(Seigle!G7="",'Intermédiaire_Prod-Résultats'!V7,Seigle!G7)</f>
        <v>0</v>
      </c>
      <c r="Y7" s="3">
        <f>Seigle_hybride!E7</f>
        <v>0</v>
      </c>
      <c r="Z7" s="3">
        <f>IF(Seigle_hybride!G7="",'Intermédiaire_Prod-Résultats'!Y7,Seigle_hybride!G7)</f>
        <v>0</v>
      </c>
      <c r="AB7" s="3">
        <f>Prairie!E7</f>
        <v>151</v>
      </c>
      <c r="AC7" s="3">
        <f>IF(Prairie!G7="",'Intermédiaire_Prod-Résultats'!AB7,Prairie!G7)</f>
        <v>151</v>
      </c>
      <c r="AD7" s="37"/>
      <c r="AE7" s="34">
        <f>Chanvre!E7</f>
        <v>0</v>
      </c>
      <c r="AF7" s="3">
        <f>IF(Chanvre!G7="",'Intermédiaire_Prod-Résultats'!AE7,Chanvre!G7)</f>
        <v>0</v>
      </c>
      <c r="AH7" s="3">
        <f>Sarrasin!E7</f>
        <v>0</v>
      </c>
      <c r="AI7" s="3">
        <f>IF(Sarrasin!G7="",'Intermédiaire_Prod-Résultats'!AH7,Sarrasin!G7)</f>
        <v>0</v>
      </c>
      <c r="AK7" s="3">
        <f>Orge!E7</f>
        <v>0</v>
      </c>
      <c r="AL7" s="3">
        <f>IF(Orge!G7="",'Intermédiaire_Prod-Résultats'!AK7,Orge!G7)</f>
        <v>0</v>
      </c>
      <c r="AN7" s="3">
        <f>Avoine!E7</f>
        <v>0</v>
      </c>
      <c r="AO7" s="3">
        <f>IF(Avoine!G7="",'Intermédiaire_Prod-Résultats'!AN7,Avoine!G7)</f>
        <v>0</v>
      </c>
      <c r="AQ7" s="3">
        <f>'Blé_d''automne'!E7</f>
        <v>0</v>
      </c>
      <c r="AR7" s="3">
        <f>IF('Blé_d''automne'!G7="",'Intermédiaire_Prod-Résultats'!AQ7,'Blé_d''automne'!G7)</f>
        <v>0</v>
      </c>
      <c r="AT7" s="3">
        <f>Blé_printemps!E7</f>
        <v>0</v>
      </c>
      <c r="AU7" s="3">
        <f>IF(Blé_printemps!G7="",'Intermédiaire_Prod-Résultats'!AT7,Blé_printemps!G7)</f>
        <v>0</v>
      </c>
      <c r="AW7" s="3">
        <f>Seigle!E7</f>
        <v>0</v>
      </c>
      <c r="AX7" s="3">
        <f>IF(Seigle_hybride!G7="",'Intermédiaire_Prod-Résultats'!AW7,Seigle_hybride!G7)</f>
        <v>0</v>
      </c>
      <c r="AZ7" s="3">
        <f>Seigle_hybride!E7</f>
        <v>0</v>
      </c>
      <c r="BA7" s="3">
        <f>IF(Seigle_hybride!G7="",'Intermédiaire_Prod-Résultats'!AZ7,Seigle_hybride!G7)</f>
        <v>0</v>
      </c>
      <c r="BC7" s="3">
        <f>Prairie!E7</f>
        <v>151</v>
      </c>
      <c r="BD7" s="3">
        <f>IF(Prairie!G7="",'Intermédiaire_Prod-Résultats'!BC7,Prairie!G7)</f>
        <v>151</v>
      </c>
      <c r="BE7" s="37"/>
      <c r="BF7" s="34">
        <f>Chanvre!E7</f>
        <v>0</v>
      </c>
      <c r="BG7" s="3">
        <f>IF(Chanvre!G7="",'Intermédiaire_Prod-Résultats'!BF7,Chanvre!G7)</f>
        <v>0</v>
      </c>
      <c r="BI7" s="3">
        <f>Sarrasin!E7</f>
        <v>0</v>
      </c>
      <c r="BJ7" s="3">
        <f>IF(Sarrasin!G7="",'Intermédiaire_Prod-Résultats'!BI7,Sarrasin!G7)</f>
        <v>0</v>
      </c>
      <c r="BL7" s="3">
        <f>Orge!E7</f>
        <v>0</v>
      </c>
      <c r="BM7" s="3">
        <f>IF(Orge!G7="",'Intermédiaire_Prod-Résultats'!BL7,Orge!G7)</f>
        <v>0</v>
      </c>
      <c r="BO7" s="3">
        <f>Avoine!E7</f>
        <v>0</v>
      </c>
      <c r="BP7" s="3">
        <f>IF(Avoine!G7="",'Intermédiaire_Prod-Résultats'!BO7,Avoine!G7)</f>
        <v>0</v>
      </c>
      <c r="BR7" s="3">
        <f>'Blé_d''automne'!E7</f>
        <v>0</v>
      </c>
      <c r="BS7" s="3">
        <f>IF('Blé_d''automne'!G7="",'Intermédiaire_Prod-Résultats'!BR7,'Blé_d''automne'!G7)</f>
        <v>0</v>
      </c>
      <c r="BU7" s="3">
        <f>Blé_printemps!E7</f>
        <v>0</v>
      </c>
      <c r="BV7" s="3">
        <f>IF(Blé_printemps!G7="",'Intermédiaire_Prod-Résultats'!BU7,Blé_printemps!G7)</f>
        <v>0</v>
      </c>
      <c r="BX7" s="3">
        <f>Seigle!E7</f>
        <v>0</v>
      </c>
      <c r="BY7" s="3">
        <f>IF(Seigle!G7="",'Intermédiaire_Prod-Résultats'!BX7,Seigle!G7)</f>
        <v>0</v>
      </c>
      <c r="CA7" s="3">
        <f>Seigle_hybride!E7</f>
        <v>0</v>
      </c>
      <c r="CB7" s="3">
        <f>IF(Seigle_hybride!G7="",'Intermédiaire_Prod-Résultats'!CA7,Seigle_hybride!G7)</f>
        <v>0</v>
      </c>
      <c r="CD7" s="3">
        <f>Prairie!E7</f>
        <v>151</v>
      </c>
      <c r="CE7" s="3">
        <f>IF(Prairie!G7="",'Intermédiaire_Prod-Résultats'!CD7,Prairie!G7)</f>
        <v>151</v>
      </c>
    </row>
    <row r="8" spans="1:83" x14ac:dyDescent="0.25">
      <c r="A8" s="30" t="s">
        <v>144</v>
      </c>
      <c r="D8" s="3">
        <f>(D5-D15)*0.042</f>
        <v>99.65382000000001</v>
      </c>
      <c r="E8" s="3">
        <f>(E5-E15)*0.042</f>
        <v>99.65382000000001</v>
      </c>
      <c r="G8" s="3">
        <f>(G5-G15)*0.042</f>
        <v>63.518700000000003</v>
      </c>
      <c r="H8" s="3">
        <f>(H5-H15)*0.042</f>
        <v>63.518700000000003</v>
      </c>
      <c r="J8" s="3">
        <f>(J5-J15)*0.01</f>
        <v>11.6701</v>
      </c>
      <c r="K8" s="3">
        <f>(K5-K15)*0.01</f>
        <v>11.6701</v>
      </c>
      <c r="M8" s="3">
        <f>(M5-M15)*0.01</f>
        <v>8.0924000000000014</v>
      </c>
      <c r="N8" s="3">
        <f>(N5-N15)*0.01</f>
        <v>8.0924000000000014</v>
      </c>
      <c r="P8" s="3">
        <f>(P5-P15)*0.01</f>
        <v>17.786608999999999</v>
      </c>
      <c r="Q8" s="3">
        <f>(Q5-Q15)*0.01</f>
        <v>17.786608999999999</v>
      </c>
      <c r="S8" s="3">
        <f>(S5-S15)*0.01</f>
        <v>13.635699999999998</v>
      </c>
      <c r="T8" s="3">
        <f>(T5-T15)*0.01</f>
        <v>13.635699999999998</v>
      </c>
      <c r="V8" s="3">
        <f>(V5-V15)*0.01</f>
        <v>8.3794000000000004</v>
      </c>
      <c r="W8" s="3">
        <f>(W5-W15)*0.01</f>
        <v>8.3794000000000004</v>
      </c>
      <c r="Y8" s="3">
        <f>(Y5-Y15)*0.01</f>
        <v>18.1463</v>
      </c>
      <c r="Z8" s="3">
        <f>(Z5-Z15)*0.01</f>
        <v>18.1463</v>
      </c>
      <c r="AB8" s="3">
        <f>(AB5-AB15)*0.01</f>
        <v>5.9487000000000005</v>
      </c>
      <c r="AC8" s="3">
        <f>(AC5-AC15)*0.01</f>
        <v>5.9487000000000005</v>
      </c>
      <c r="AD8" s="37"/>
      <c r="AE8" s="3">
        <f>(AE5-AE15)*0.042</f>
        <v>99.65382000000001</v>
      </c>
      <c r="AF8" s="3">
        <f>(AF5-AF15)*0.042</f>
        <v>99.65382000000001</v>
      </c>
      <c r="AH8" s="3">
        <f>(AH5-AH15)*0.042</f>
        <v>63.518700000000003</v>
      </c>
      <c r="AI8" s="3">
        <f>(AI5-AI15)*0.042</f>
        <v>63.518700000000003</v>
      </c>
      <c r="AK8" s="3">
        <f>(AK5-AK15)*0.01</f>
        <v>11.6701</v>
      </c>
      <c r="AL8" s="3">
        <f>(AL5-AL15)*0.01</f>
        <v>11.6701</v>
      </c>
      <c r="AN8" s="3">
        <f>(AN5-AN15)*0.01</f>
        <v>8.0924000000000014</v>
      </c>
      <c r="AO8" s="3">
        <f>(AO5-AO15)*0.01</f>
        <v>8.0924000000000014</v>
      </c>
      <c r="AQ8" s="3">
        <f>(AQ5-AQ15)*0.01</f>
        <v>17.786608999999999</v>
      </c>
      <c r="AR8" s="3">
        <f>(AR5-AR15)*0.01</f>
        <v>17.786608999999999</v>
      </c>
      <c r="AT8" s="3">
        <f>(AT5-AT15)*0.01</f>
        <v>13.635699999999998</v>
      </c>
      <c r="AU8" s="3">
        <f>(AU5-AU15)*0.01</f>
        <v>13.635699999999998</v>
      </c>
      <c r="AW8" s="3">
        <f>(AW5-AW15)*0.01</f>
        <v>8.3794000000000004</v>
      </c>
      <c r="AX8" s="3">
        <f>(AX5-AX15)*0.01</f>
        <v>8.3794000000000004</v>
      </c>
      <c r="AZ8" s="3">
        <f>(AZ5-AZ15)*0.01</f>
        <v>18.1463</v>
      </c>
      <c r="BA8" s="3">
        <f>(BA5-BA15)*0.01</f>
        <v>18.1463</v>
      </c>
      <c r="BC8" s="3">
        <f>(BC5-BC15)*0.01</f>
        <v>5.9487000000000005</v>
      </c>
      <c r="BD8" s="3">
        <f>(BD5-BD15)*0.01</f>
        <v>5.9487000000000005</v>
      </c>
      <c r="BE8" s="37"/>
      <c r="BF8" s="3">
        <f>(BF5-BF15)*0.042</f>
        <v>99.65382000000001</v>
      </c>
      <c r="BG8" s="3">
        <f>(BG5-BG15)*0.042</f>
        <v>99.65382000000001</v>
      </c>
      <c r="BI8" s="3">
        <f>(BI5-BI15)*0.042</f>
        <v>63.518700000000003</v>
      </c>
      <c r="BJ8" s="3">
        <f>(BJ5-BJ15)*0.042</f>
        <v>63.518700000000003</v>
      </c>
      <c r="BL8" s="3">
        <f>(BL5-BL15)*0.01</f>
        <v>11.6701</v>
      </c>
      <c r="BM8" s="3">
        <f>(BM5-BM15)*0.01</f>
        <v>11.6701</v>
      </c>
      <c r="BO8" s="3">
        <f>(BO5-BO15)*0.01</f>
        <v>8.0924000000000014</v>
      </c>
      <c r="BP8" s="3">
        <f>(BP5-BP15)*0.01</f>
        <v>8.0924000000000014</v>
      </c>
      <c r="BR8" s="3">
        <f>(BR5-BR15)*0.01</f>
        <v>17.786608999999999</v>
      </c>
      <c r="BS8" s="3">
        <f>(BS5-BS15)*0.01</f>
        <v>17.786608999999999</v>
      </c>
      <c r="BU8" s="3">
        <f>(BU5-BU15)*0.01</f>
        <v>13.635699999999998</v>
      </c>
      <c r="BV8" s="3">
        <f>(BV5-BV15)*0.01</f>
        <v>13.635699999999998</v>
      </c>
      <c r="BX8" s="3">
        <f>(BX5-BX15)*0.01</f>
        <v>8.3794000000000004</v>
      </c>
      <c r="BY8" s="3">
        <f>(BY5-BY15)*0.01</f>
        <v>8.3794000000000004</v>
      </c>
      <c r="CA8" s="3">
        <f>(CA5-CA15)*0.01</f>
        <v>18.1463</v>
      </c>
      <c r="CB8" s="3">
        <f>(CB5-CB15)*0.01</f>
        <v>18.1463</v>
      </c>
      <c r="CD8" s="3">
        <f>(CD5-CD15)*0.01</f>
        <v>5.9487000000000005</v>
      </c>
      <c r="CE8" s="3">
        <f>(CE5-CE15)*0.01</f>
        <v>5.9487000000000005</v>
      </c>
    </row>
    <row r="9" spans="1:83" x14ac:dyDescent="0.25">
      <c r="A9" s="30" t="s">
        <v>15</v>
      </c>
      <c r="D9" s="3">
        <f>Chanvre!E9</f>
        <v>100.94</v>
      </c>
      <c r="E9" s="3">
        <f>IF(Chanvre!G9="",'Intermédiaire_Prod-Résultats'!D9,Chanvre!G9)</f>
        <v>100.94</v>
      </c>
      <c r="G9" s="3">
        <f>Sarrasin!E9</f>
        <v>176.08</v>
      </c>
      <c r="H9" s="3">
        <f>IF(Sarrasin!G9="",'Intermédiaire_Prod-Résultats'!G9,Sarrasin!G9)</f>
        <v>176.08</v>
      </c>
      <c r="J9" s="3">
        <f>Orge!E9</f>
        <v>241.96</v>
      </c>
      <c r="K9" s="3">
        <f>IF(Orge!G9="",'Intermédiaire_Prod-Résultats'!J9,Orge!G9)</f>
        <v>241.96</v>
      </c>
      <c r="M9" s="3">
        <f>Avoine!E9</f>
        <v>132.27000000000001</v>
      </c>
      <c r="N9" s="3">
        <f>IF(Avoine!G9="",'Intermédiaire_Prod-Résultats'!M9,Avoine!G9)</f>
        <v>132.27000000000001</v>
      </c>
      <c r="P9" s="3">
        <f>'Blé_d''automne'!E9</f>
        <v>85.99</v>
      </c>
      <c r="Q9" s="3">
        <f>IF('Blé_d''automne'!G9="",'Intermédiaire_Prod-Résultats'!P9,'Blé_d''automne'!G9)</f>
        <v>85.99</v>
      </c>
      <c r="S9" s="3">
        <f>Blé_printemps!E9</f>
        <v>90.14</v>
      </c>
      <c r="T9" s="3">
        <f>IF(Blé_printemps!G9="",'Intermédiaire_Prod-Résultats'!S9,Blé_printemps!G9)</f>
        <v>90.14</v>
      </c>
      <c r="V9" s="3">
        <f>Seigle!E9</f>
        <v>276.89999999999998</v>
      </c>
      <c r="W9" s="3">
        <f>IF(Seigle!G9="",'Intermédiaire_Prod-Résultats'!V9,Seigle!G9)</f>
        <v>276.89999999999998</v>
      </c>
      <c r="Y9" s="3">
        <f>Seigle_hybride!E9</f>
        <v>235.88</v>
      </c>
      <c r="Z9" s="3">
        <f>IF(Seigle_hybride!G9="",'Intermédiaire_Prod-Résultats'!Y9,Seigle_hybride!G9)</f>
        <v>235.88</v>
      </c>
      <c r="AB9" s="3">
        <f>Prairie!E9</f>
        <v>13</v>
      </c>
      <c r="AC9" s="3">
        <f>IF(Prairie!G9="",'Intermédiaire_Prod-Résultats'!AB9,Prairie!G9)</f>
        <v>13</v>
      </c>
      <c r="AD9" s="37"/>
      <c r="AE9" s="34">
        <f>Chanvre!E9</f>
        <v>100.94</v>
      </c>
      <c r="AF9" s="3">
        <f>IF(Chanvre!G9="",'Intermédiaire_Prod-Résultats'!AE9,Chanvre!G9)</f>
        <v>100.94</v>
      </c>
      <c r="AH9" s="3">
        <f>Sarrasin!E9</f>
        <v>176.08</v>
      </c>
      <c r="AI9" s="3">
        <f>IF(Sarrasin!G9="",'Intermédiaire_Prod-Résultats'!AH9,Sarrasin!G9)</f>
        <v>176.08</v>
      </c>
      <c r="AK9" s="3">
        <f>Orge!E9</f>
        <v>241.96</v>
      </c>
      <c r="AL9" s="3">
        <f>IF(Orge!G9="",'Intermédiaire_Prod-Résultats'!AK9,Orge!G9)</f>
        <v>241.96</v>
      </c>
      <c r="AN9" s="3">
        <f>Avoine!E9</f>
        <v>132.27000000000001</v>
      </c>
      <c r="AO9" s="3">
        <f>IF(Avoine!G9="",'Intermédiaire_Prod-Résultats'!AN9,Avoine!G9)</f>
        <v>132.27000000000001</v>
      </c>
      <c r="AQ9" s="3">
        <f>'Blé_d''automne'!E9</f>
        <v>85.99</v>
      </c>
      <c r="AR9" s="3">
        <f>IF('Blé_d''automne'!G9="",'Intermédiaire_Prod-Résultats'!AQ9,'Blé_d''automne'!G9)</f>
        <v>85.99</v>
      </c>
      <c r="AT9" s="3">
        <f>Blé_printemps!E9</f>
        <v>90.14</v>
      </c>
      <c r="AU9" s="3">
        <f>IF(Blé_printemps!G9="",'Intermédiaire_Prod-Résultats'!AT9,Blé_printemps!G9)</f>
        <v>90.14</v>
      </c>
      <c r="AW9" s="3">
        <f>Seigle!E9</f>
        <v>276.89999999999998</v>
      </c>
      <c r="AX9" s="3">
        <f>IF(Seigle_hybride!G9="",'Intermédiaire_Prod-Résultats'!AW9,Seigle_hybride!G9)</f>
        <v>276.89999999999998</v>
      </c>
      <c r="AZ9" s="3">
        <f>Seigle_hybride!E9</f>
        <v>235.88</v>
      </c>
      <c r="BA9" s="3">
        <f>IF(Seigle_hybride!G9="",'Intermédiaire_Prod-Résultats'!AZ9,Seigle_hybride!G9)</f>
        <v>235.88</v>
      </c>
      <c r="BC9" s="3">
        <f>Prairie!E9</f>
        <v>13</v>
      </c>
      <c r="BD9" s="3">
        <f>IF(Prairie!G9="",'Intermédiaire_Prod-Résultats'!BC9,Prairie!G9)</f>
        <v>13</v>
      </c>
      <c r="BE9" s="37"/>
      <c r="BF9" s="34">
        <f>Chanvre!E9</f>
        <v>100.94</v>
      </c>
      <c r="BG9" s="3">
        <f>IF(Chanvre!G9="",'Intermédiaire_Prod-Résultats'!BF9,Chanvre!G9)</f>
        <v>100.94</v>
      </c>
      <c r="BI9" s="3">
        <f>Sarrasin!E9</f>
        <v>176.08</v>
      </c>
      <c r="BJ9" s="3">
        <f>IF(Sarrasin!G9="",'Intermédiaire_Prod-Résultats'!BI9,Sarrasin!G9)</f>
        <v>176.08</v>
      </c>
      <c r="BL9" s="3">
        <f>Orge!E9</f>
        <v>241.96</v>
      </c>
      <c r="BM9" s="3">
        <f>IF(Orge!G9="",'Intermédiaire_Prod-Résultats'!BL9,Orge!G9)</f>
        <v>241.96</v>
      </c>
      <c r="BO9" s="3">
        <f>Avoine!E9</f>
        <v>132.27000000000001</v>
      </c>
      <c r="BP9" s="3">
        <f>IF(Avoine!G9="",'Intermédiaire_Prod-Résultats'!BO9,Avoine!G9)</f>
        <v>132.27000000000001</v>
      </c>
      <c r="BR9" s="3">
        <f>'Blé_d''automne'!E9</f>
        <v>85.99</v>
      </c>
      <c r="BS9" s="3">
        <f>IF('Blé_d''automne'!G9="",'Intermédiaire_Prod-Résultats'!BR9,'Blé_d''automne'!G9)</f>
        <v>85.99</v>
      </c>
      <c r="BU9" s="3">
        <f>Blé_printemps!E9</f>
        <v>90.14</v>
      </c>
      <c r="BV9" s="3">
        <f>IF(Blé_printemps!G9="",'Intermédiaire_Prod-Résultats'!BU9,Blé_printemps!G9)</f>
        <v>90.14</v>
      </c>
      <c r="BX9" s="3">
        <f>Seigle!E9</f>
        <v>276.89999999999998</v>
      </c>
      <c r="BY9" s="3">
        <f>IF(Seigle!G9="",'Intermédiaire_Prod-Résultats'!BX9,Seigle!G9)</f>
        <v>276.89999999999998</v>
      </c>
      <c r="CA9" s="3">
        <f>Seigle_hybride!E9</f>
        <v>235.88</v>
      </c>
      <c r="CB9" s="3">
        <f>IF(Seigle_hybride!G9="",'Intermédiaire_Prod-Résultats'!CA9,Seigle_hybride!G9)</f>
        <v>235.88</v>
      </c>
      <c r="CD9" s="3">
        <f>Prairie!E9</f>
        <v>13</v>
      </c>
      <c r="CE9" s="3">
        <f>IF(Prairie!G9="",'Intermédiaire_Prod-Résultats'!CD9,Prairie!G9)</f>
        <v>13</v>
      </c>
    </row>
    <row r="10" spans="1:83" x14ac:dyDescent="0.25">
      <c r="D10" s="6">
        <f>SUM(D5:D9)</f>
        <v>2842.0938200000001</v>
      </c>
      <c r="E10" s="6">
        <f>SUM(E5:E9)</f>
        <v>2842.0938200000001</v>
      </c>
      <c r="G10" s="6">
        <f>SUM(G5:G9)</f>
        <v>1867.5987</v>
      </c>
      <c r="H10" s="6">
        <f>SUM(H5:H9)</f>
        <v>1867.5987</v>
      </c>
      <c r="J10" s="6">
        <f>SUM(J5:J9)</f>
        <v>1666.1301000000001</v>
      </c>
      <c r="K10" s="6">
        <f>SUM(K5:K9)</f>
        <v>1666.1301000000001</v>
      </c>
      <c r="M10" s="6">
        <f>SUM(M5:M9)</f>
        <v>1097.3624000000002</v>
      </c>
      <c r="N10" s="6">
        <f>SUM(N5:N9)</f>
        <v>1097.3624000000002</v>
      </c>
      <c r="P10" s="6">
        <f>SUM(P5:P9)</f>
        <v>2098.0766089999997</v>
      </c>
      <c r="Q10" s="6">
        <f>SUM(Q5:Q9)</f>
        <v>2098.0766089999997</v>
      </c>
      <c r="S10" s="6">
        <f>SUM(S5:S9)</f>
        <v>1699.2157</v>
      </c>
      <c r="T10" s="6">
        <f>SUM(T5:T9)</f>
        <v>1699.2157</v>
      </c>
      <c r="V10" s="6">
        <f>SUM(V5:V9)</f>
        <v>1256.5293999999999</v>
      </c>
      <c r="W10" s="6">
        <f>SUM(W5:W9)</f>
        <v>1256.5293999999999</v>
      </c>
      <c r="Y10" s="6">
        <f>SUM(Y5:Y9)</f>
        <v>2335.2763</v>
      </c>
      <c r="Z10" s="6">
        <f>SUM(Z5:Z9)</f>
        <v>2335.2763</v>
      </c>
      <c r="AB10" s="6">
        <f>SUM(AB5:AB9)</f>
        <v>797.21870000000001</v>
      </c>
      <c r="AC10" s="6">
        <f>SUM(AC5:AC9)</f>
        <v>797.21870000000001</v>
      </c>
      <c r="AD10" s="37"/>
      <c r="AE10" s="6">
        <f>SUM(AE5:AE9)</f>
        <v>2842.0938200000001</v>
      </c>
      <c r="AF10" s="6">
        <f>SUM(AF5:AF9)</f>
        <v>2842.0938200000001</v>
      </c>
      <c r="AH10" s="6">
        <f>SUM(AH5:AH9)</f>
        <v>1867.5987</v>
      </c>
      <c r="AI10" s="6">
        <f>SUM(AI5:AI9)</f>
        <v>1867.5987</v>
      </c>
      <c r="AK10" s="6">
        <f>SUM(AK5:AK9)</f>
        <v>1666.1301000000001</v>
      </c>
      <c r="AL10" s="6">
        <f>SUM(AL5:AL9)</f>
        <v>1666.1301000000001</v>
      </c>
      <c r="AN10" s="6">
        <f>SUM(AN5:AN9)</f>
        <v>1097.3624000000002</v>
      </c>
      <c r="AO10" s="6">
        <f>SUM(AO5:AO9)</f>
        <v>1097.3624000000002</v>
      </c>
      <c r="AQ10" s="6">
        <f>SUM(AQ5:AQ9)</f>
        <v>2098.0766089999997</v>
      </c>
      <c r="AR10" s="6">
        <f>SUM(AR5:AR9)</f>
        <v>2098.0766089999997</v>
      </c>
      <c r="AT10" s="6">
        <f>SUM(AT5:AT9)</f>
        <v>1699.2157</v>
      </c>
      <c r="AU10" s="6">
        <f>SUM(AU5:AU9)</f>
        <v>1699.2157</v>
      </c>
      <c r="AW10" s="6">
        <f>SUM(AW5:AW9)</f>
        <v>1256.5293999999999</v>
      </c>
      <c r="AX10" s="6">
        <f>SUM(AX5:AX9)</f>
        <v>1256.5293999999999</v>
      </c>
      <c r="AZ10" s="6">
        <f>SUM(AZ5:AZ9)</f>
        <v>2335.2763</v>
      </c>
      <c r="BA10" s="6">
        <f>SUM(BA5:BA9)</f>
        <v>2335.2763</v>
      </c>
      <c r="BC10" s="6">
        <f>SUM(BC5:BC9)</f>
        <v>797.21870000000001</v>
      </c>
      <c r="BD10" s="6">
        <f>SUM(BD5:BD9)</f>
        <v>797.21870000000001</v>
      </c>
      <c r="BE10" s="37"/>
      <c r="BF10" s="6">
        <f>SUM(BF5:BF9)</f>
        <v>2842.0938200000001</v>
      </c>
      <c r="BG10" s="6">
        <f>SUM(BG5:BG9)</f>
        <v>2842.0938200000001</v>
      </c>
      <c r="BI10" s="6">
        <f>SUM(BI5:BI9)</f>
        <v>1867.5987</v>
      </c>
      <c r="BJ10" s="6">
        <f>SUM(BJ5:BJ9)</f>
        <v>1867.5987</v>
      </c>
      <c r="BL10" s="6">
        <f>SUM(BL5:BL9)</f>
        <v>1666.1301000000001</v>
      </c>
      <c r="BM10" s="6">
        <f>SUM(BM5:BM9)</f>
        <v>1666.1301000000001</v>
      </c>
      <c r="BO10" s="6">
        <f>SUM(BO5:BO9)</f>
        <v>1097.3624000000002</v>
      </c>
      <c r="BP10" s="6">
        <f>SUM(BP5:BP9)</f>
        <v>1097.3624000000002</v>
      </c>
      <c r="BR10" s="6">
        <f>SUM(BR5:BR9)</f>
        <v>2098.0766089999997</v>
      </c>
      <c r="BS10" s="6">
        <f>SUM(BS5:BS9)</f>
        <v>2098.0766089999997</v>
      </c>
      <c r="BU10" s="6">
        <f>SUM(BU5:BU9)</f>
        <v>1699.2157</v>
      </c>
      <c r="BV10" s="6">
        <f>SUM(BV5:BV9)</f>
        <v>1699.2157</v>
      </c>
      <c r="BX10" s="6">
        <f>SUM(BX5:BX9)</f>
        <v>1256.5293999999999</v>
      </c>
      <c r="BY10" s="6">
        <f>SUM(BY5:BY9)</f>
        <v>1256.5293999999999</v>
      </c>
      <c r="CA10" s="6">
        <f>SUM(CA5:CA9)</f>
        <v>2335.2763</v>
      </c>
      <c r="CB10" s="6">
        <f>SUM(CB5:CB9)</f>
        <v>2335.2763</v>
      </c>
      <c r="CD10" s="6">
        <f>SUM(CD5:CD9)</f>
        <v>797.21870000000001</v>
      </c>
      <c r="CE10" s="6">
        <f>SUM(CE5:CE9)</f>
        <v>797.21870000000001</v>
      </c>
    </row>
    <row r="11" spans="1:83" x14ac:dyDescent="0.25">
      <c r="A11" s="1" t="s">
        <v>10</v>
      </c>
      <c r="D11" s="3"/>
      <c r="E11" s="3"/>
      <c r="G11" s="3"/>
      <c r="H11" s="3"/>
      <c r="J11" s="3"/>
      <c r="K11" s="3"/>
      <c r="M11" s="3"/>
      <c r="N11" s="3"/>
      <c r="P11" s="3"/>
      <c r="Q11" s="3"/>
      <c r="S11" s="3"/>
      <c r="T11" s="3"/>
      <c r="V11" s="3"/>
      <c r="W11" s="3"/>
      <c r="Y11" s="3"/>
      <c r="Z11" s="3"/>
      <c r="AB11" s="3"/>
      <c r="AC11" s="3"/>
      <c r="AD11" s="37"/>
      <c r="AE11" s="34"/>
      <c r="AF11" s="3"/>
      <c r="AH11" s="3"/>
      <c r="AI11" s="3"/>
      <c r="AK11" s="3"/>
      <c r="AL11" s="3"/>
      <c r="AN11" s="3"/>
      <c r="AO11" s="3"/>
      <c r="AQ11" s="3"/>
      <c r="AR11" s="3"/>
      <c r="AT11" s="3"/>
      <c r="AU11" s="3"/>
      <c r="AW11" s="3"/>
      <c r="AX11" s="3"/>
      <c r="AZ11" s="3"/>
      <c r="BA11" s="3"/>
      <c r="BC11" s="3"/>
      <c r="BD11" s="3"/>
      <c r="BE11" s="37"/>
      <c r="BF11" s="34"/>
      <c r="BG11" s="3"/>
      <c r="BI11" s="3"/>
      <c r="BJ11" s="3"/>
      <c r="BL11" s="3"/>
      <c r="BM11" s="3"/>
      <c r="BO11" s="3"/>
      <c r="BP11" s="3"/>
      <c r="BR11" s="3"/>
      <c r="BS11" s="3"/>
      <c r="BU11" s="3"/>
      <c r="BV11" s="3"/>
      <c r="BX11" s="3"/>
      <c r="BY11" s="3"/>
      <c r="CA11" s="3"/>
      <c r="CB11" s="3"/>
      <c r="CD11" s="3"/>
      <c r="CE11" s="3"/>
    </row>
    <row r="12" spans="1:83" x14ac:dyDescent="0.25">
      <c r="D12" s="3"/>
      <c r="E12" s="3"/>
      <c r="G12" s="3"/>
      <c r="H12" s="3"/>
      <c r="J12" s="3"/>
      <c r="K12" s="3"/>
      <c r="M12" s="3"/>
      <c r="N12" s="3"/>
      <c r="P12" s="3"/>
      <c r="Q12" s="3"/>
      <c r="S12" s="3"/>
      <c r="T12" s="3"/>
      <c r="V12" s="3"/>
      <c r="W12" s="3"/>
      <c r="Y12" s="3"/>
      <c r="Z12" s="3"/>
      <c r="AB12" s="3"/>
      <c r="AC12" s="3"/>
      <c r="AD12" s="37"/>
      <c r="AE12" s="34"/>
      <c r="AF12" s="3"/>
      <c r="AH12" s="3"/>
      <c r="AI12" s="3"/>
      <c r="AK12" s="3"/>
      <c r="AL12" s="3"/>
      <c r="AN12" s="3"/>
      <c r="AO12" s="3"/>
      <c r="AQ12" s="3"/>
      <c r="AR12" s="3"/>
      <c r="AT12" s="3"/>
      <c r="AU12" s="3"/>
      <c r="AW12" s="3"/>
      <c r="AX12" s="3"/>
      <c r="AZ12" s="3"/>
      <c r="BA12" s="3"/>
      <c r="BC12" s="3"/>
      <c r="BD12" s="3"/>
      <c r="BE12" s="37"/>
      <c r="BF12" s="34"/>
      <c r="BG12" s="3"/>
      <c r="BI12" s="3"/>
      <c r="BJ12" s="3"/>
      <c r="BL12" s="3"/>
      <c r="BM12" s="3"/>
      <c r="BO12" s="3"/>
      <c r="BP12" s="3"/>
      <c r="BR12" s="3"/>
      <c r="BS12" s="3"/>
      <c r="BU12" s="3"/>
      <c r="BV12" s="3"/>
      <c r="BX12" s="3"/>
      <c r="BY12" s="3"/>
      <c r="CA12" s="3"/>
      <c r="CB12" s="3"/>
      <c r="CD12" s="3"/>
      <c r="CE12" s="3"/>
    </row>
    <row r="13" spans="1:83" x14ac:dyDescent="0.25">
      <c r="D13" s="3"/>
      <c r="E13" s="3"/>
      <c r="G13" s="3"/>
      <c r="H13" s="3"/>
      <c r="J13" s="3"/>
      <c r="K13" s="3"/>
      <c r="M13" s="3"/>
      <c r="N13" s="3"/>
      <c r="P13" s="3"/>
      <c r="Q13" s="3"/>
      <c r="S13" s="3"/>
      <c r="T13" s="3"/>
      <c r="V13" s="3"/>
      <c r="W13" s="3"/>
      <c r="Y13" s="3"/>
      <c r="Z13" s="3"/>
      <c r="AB13" s="3"/>
      <c r="AC13" s="3"/>
      <c r="AD13" s="37"/>
      <c r="AE13" s="34"/>
      <c r="AF13" s="3"/>
      <c r="AH13" s="3"/>
      <c r="AI13" s="3"/>
      <c r="AK13" s="3"/>
      <c r="AL13" s="3"/>
      <c r="AN13" s="3"/>
      <c r="AO13" s="3"/>
      <c r="AQ13" s="3"/>
      <c r="AR13" s="3"/>
      <c r="AT13" s="3"/>
      <c r="AU13" s="3"/>
      <c r="AW13" s="3"/>
      <c r="AX13" s="3"/>
      <c r="AZ13" s="3"/>
      <c r="BA13" s="3"/>
      <c r="BC13" s="3"/>
      <c r="BD13" s="3"/>
      <c r="BE13" s="37"/>
      <c r="BF13" s="34"/>
      <c r="BG13" s="3"/>
      <c r="BI13" s="3"/>
      <c r="BJ13" s="3"/>
      <c r="BL13" s="3"/>
      <c r="BM13" s="3"/>
      <c r="BO13" s="3"/>
      <c r="BP13" s="3"/>
      <c r="BR13" s="3"/>
      <c r="BS13" s="3"/>
      <c r="BU13" s="3"/>
      <c r="BV13" s="3"/>
      <c r="BX13" s="3"/>
      <c r="BY13" s="3"/>
      <c r="CA13" s="3"/>
      <c r="CB13" s="3"/>
      <c r="CD13" s="3"/>
      <c r="CE13" s="3"/>
    </row>
    <row r="14" spans="1:83" x14ac:dyDescent="0.25">
      <c r="A14" s="8" t="s">
        <v>139</v>
      </c>
      <c r="AC14" s="44"/>
      <c r="AD14" s="37"/>
      <c r="AE14" s="33"/>
      <c r="BD14" s="44"/>
      <c r="BE14" s="37"/>
      <c r="BF14" s="33"/>
    </row>
    <row r="15" spans="1:83" x14ac:dyDescent="0.25">
      <c r="A15" t="s">
        <v>75</v>
      </c>
      <c r="D15" s="3">
        <f>Chanvre!E16</f>
        <v>268.79000000000002</v>
      </c>
      <c r="E15" s="3">
        <f>IF(Chanvre!G16="",'Intermédiaire_Prod-Résultats'!D15,Chanvre!G16)</f>
        <v>268.79000000000002</v>
      </c>
      <c r="G15" s="3">
        <f>Sarrasin!E16</f>
        <v>115.65</v>
      </c>
      <c r="H15" s="3">
        <f>IF(Sarrasin!G16="",'Intermédiaire_Prod-Résultats'!G15,Sarrasin!G16)</f>
        <v>115.65</v>
      </c>
      <c r="J15" s="3">
        <f>Orge!E16</f>
        <v>245.49</v>
      </c>
      <c r="K15" s="3">
        <f>IF(Orge!G16="",'Intermédiaire_Prod-Résultats'!J15,Orge!G16)</f>
        <v>245.49</v>
      </c>
      <c r="M15" s="3">
        <f>Avoine!E16</f>
        <v>147.76</v>
      </c>
      <c r="N15" s="3">
        <f>IF(Avoine!G16="",'Intermédiaire_Prod-Résultats'!M15,Avoine!G16)</f>
        <v>147.76</v>
      </c>
      <c r="P15" s="3">
        <f>'Blé_d''automne'!E16</f>
        <v>215.63909999999998</v>
      </c>
      <c r="Q15" s="3">
        <f>IF('Blé_d''automne'!G16="",'Intermédiaire_Prod-Résultats'!P15,'Blé_d''automne'!G16)</f>
        <v>215.63909999999998</v>
      </c>
      <c r="S15" s="3">
        <f>Blé_printemps!E16</f>
        <v>231.87</v>
      </c>
      <c r="T15" s="3">
        <f>IF(Blé_printemps!G16="",'Intermédiaire_Prod-Résultats'!S15,Blé_printemps!G16)</f>
        <v>231.87</v>
      </c>
      <c r="V15" s="3">
        <f>Seigle!E16</f>
        <v>133.31</v>
      </c>
      <c r="W15" s="3">
        <f>IF(Seigle!G16="",'Intermédiaire_Prod-Résultats'!V15,Seigle!G16)</f>
        <v>133.31</v>
      </c>
      <c r="Y15" s="3">
        <f>Seigle_hybride!E16</f>
        <v>266.62</v>
      </c>
      <c r="Z15" s="3">
        <f>IF(Seigle_hybride!G16="",'Intermédiaire_Prod-Résultats'!Y15,Seigle_hybride!G16)</f>
        <v>266.62</v>
      </c>
      <c r="AB15" s="3">
        <f>Prairie!E16</f>
        <v>32.4</v>
      </c>
      <c r="AC15" s="3">
        <f>IF(Prairie!G16="",'Intermédiaire_Prod-Résultats'!AB15,Prairie!G16)</f>
        <v>32.4</v>
      </c>
      <c r="AD15" s="37"/>
      <c r="AE15" s="34">
        <f>Chanvre!E16</f>
        <v>268.79000000000002</v>
      </c>
      <c r="AF15" s="3">
        <f>IF(Chanvre!G16="",'Intermédiaire_Prod-Résultats'!AE15,Chanvre!G16)</f>
        <v>268.79000000000002</v>
      </c>
      <c r="AH15" s="3">
        <f>Sarrasin!E16</f>
        <v>115.65</v>
      </c>
      <c r="AI15" s="3">
        <f>IF(Sarrasin!G16="",'Intermédiaire_Prod-Résultats'!AH15,Sarrasin!G16)</f>
        <v>115.65</v>
      </c>
      <c r="AK15" s="3">
        <f>Orge!E16</f>
        <v>245.49</v>
      </c>
      <c r="AL15" s="3">
        <f>IF(Orge!G16="",'Intermédiaire_Prod-Résultats'!AK15,Orge!G16)</f>
        <v>245.49</v>
      </c>
      <c r="AN15" s="3">
        <f>Avoine!E16</f>
        <v>147.76</v>
      </c>
      <c r="AO15" s="3">
        <f>IF(Avoine!G16="",'Intermédiaire_Prod-Résultats'!AN15,Avoine!G16)</f>
        <v>147.76</v>
      </c>
      <c r="AQ15" s="3">
        <f>'Blé_d''automne'!E16</f>
        <v>215.63909999999998</v>
      </c>
      <c r="AR15" s="3">
        <f>IF('Blé_d''automne'!G16="",'Intermédiaire_Prod-Résultats'!AQ15,'Blé_d''automne'!G16)</f>
        <v>215.63909999999998</v>
      </c>
      <c r="AT15" s="3">
        <f>Blé_printemps!E16</f>
        <v>231.87</v>
      </c>
      <c r="AU15" s="3">
        <f>IF(Blé_printemps!G16="",'Intermédiaire_Prod-Résultats'!AT15,Blé_printemps!G16)</f>
        <v>231.87</v>
      </c>
      <c r="AW15" s="3">
        <f>Seigle!E16</f>
        <v>133.31</v>
      </c>
      <c r="AX15" s="3">
        <f>IF(Seigle!G16="",'Intermédiaire_Prod-Résultats'!AW15,Seigle!G16)</f>
        <v>133.31</v>
      </c>
      <c r="AZ15" s="3">
        <f>Seigle_hybride!E16</f>
        <v>266.62</v>
      </c>
      <c r="BA15" s="3">
        <f>IF(Seigle_hybride!G16="",'Intermédiaire_Prod-Résultats'!AZ15,Seigle_hybride!G16)</f>
        <v>266.62</v>
      </c>
      <c r="BC15" s="3">
        <f>Prairie!E16</f>
        <v>32.4</v>
      </c>
      <c r="BD15" s="3">
        <f>IF(Prairie!G16="",'Intermédiaire_Prod-Résultats'!BC15,Prairie!G16)</f>
        <v>32.4</v>
      </c>
      <c r="BE15" s="37"/>
      <c r="BF15" s="34">
        <f>Chanvre!E16</f>
        <v>268.79000000000002</v>
      </c>
      <c r="BG15" s="3">
        <f>IF(Chanvre!G16="",'Intermédiaire_Prod-Résultats'!BF15,Chanvre!G16)</f>
        <v>268.79000000000002</v>
      </c>
      <c r="BI15" s="3">
        <f>Sarrasin!E16</f>
        <v>115.65</v>
      </c>
      <c r="BJ15" s="3">
        <f>IF(Sarrasin!G16="",'Intermédiaire_Prod-Résultats'!BI15,Sarrasin!G16)</f>
        <v>115.65</v>
      </c>
      <c r="BL15" s="3">
        <f>Orge!E16</f>
        <v>245.49</v>
      </c>
      <c r="BM15" s="3">
        <f>IF(Orge!G16="",'Intermédiaire_Prod-Résultats'!BL15,Orge!G16)</f>
        <v>245.49</v>
      </c>
      <c r="BO15" s="3">
        <f>Avoine!E16</f>
        <v>147.76</v>
      </c>
      <c r="BP15" s="3">
        <f>IF(Avoine!G16="",'Intermédiaire_Prod-Résultats'!BO15,Avoine!G16)</f>
        <v>147.76</v>
      </c>
      <c r="BR15" s="3">
        <f>'Blé_d''automne'!E16</f>
        <v>215.63909999999998</v>
      </c>
      <c r="BS15" s="3">
        <f>IF('Blé_d''automne'!G16="",'Intermédiaire_Prod-Résultats'!BR15,'Blé_d''automne'!G16)</f>
        <v>215.63909999999998</v>
      </c>
      <c r="BU15" s="3">
        <f>Blé_printemps!E16</f>
        <v>231.87</v>
      </c>
      <c r="BV15" s="3">
        <f>IF(Blé_printemps!G16="",'Intermédiaire_Prod-Résultats'!BU15,Blé_printemps!G16)</f>
        <v>231.87</v>
      </c>
      <c r="BX15" s="3">
        <f>Seigle!E16</f>
        <v>133.31</v>
      </c>
      <c r="BY15" s="3">
        <f>IF(Seigle!G16="",'Intermédiaire_Prod-Résultats'!BX15,Seigle!G16)</f>
        <v>133.31</v>
      </c>
      <c r="CA15" s="3">
        <f>Seigle_hybride!E16</f>
        <v>266.62</v>
      </c>
      <c r="CB15" s="3">
        <f>IF(Seigle_hybride!G16="",'Intermédiaire_Prod-Résultats'!CA15,Seigle_hybride!G16)</f>
        <v>266.62</v>
      </c>
      <c r="CD15" s="3">
        <f>Prairie!E16</f>
        <v>32.4</v>
      </c>
      <c r="CE15" s="3">
        <f>IF(Prairie!G16="",'Intermédiaire_Prod-Résultats'!CD15,Prairie!G16)</f>
        <v>32.4</v>
      </c>
    </row>
    <row r="16" spans="1:83" x14ac:dyDescent="0.25">
      <c r="A16" t="s">
        <v>135</v>
      </c>
      <c r="D16" s="3">
        <f>Chanvre!E17</f>
        <v>115.44</v>
      </c>
      <c r="E16" s="3">
        <f>IF(Chanvre!G17="",'Intermédiaire_Prod-Résultats'!D16,Chanvre!G17)</f>
        <v>115.44</v>
      </c>
      <c r="G16" s="3">
        <f>Sarrasin!E17</f>
        <v>48.9</v>
      </c>
      <c r="H16" s="3">
        <f>IF(Sarrasin!G17="",'Intermédiaire_Prod-Résultats'!G16,Sarrasin!G17)</f>
        <v>48.9</v>
      </c>
      <c r="J16" s="3">
        <f>Orge!E17</f>
        <v>64.91</v>
      </c>
      <c r="K16" s="3">
        <f>IF(Orge!G17="",'Intermédiaire_Prod-Résultats'!J16,Orge!G17)</f>
        <v>64.91</v>
      </c>
      <c r="M16" s="3">
        <f>Avoine!E17</f>
        <v>64.569999999999993</v>
      </c>
      <c r="N16" s="3">
        <f>IF(Avoine!G17="",'Intermédiaire_Prod-Résultats'!M16,Avoine!G17)</f>
        <v>64.569999999999993</v>
      </c>
      <c r="P16" s="3">
        <f>'Blé_d''automne'!E17</f>
        <v>86.56</v>
      </c>
      <c r="Q16" s="3">
        <f>IF('Blé_d''automne'!G17="",'Intermédiaire_Prod-Résultats'!P16,'Blé_d''automne'!G17)</f>
        <v>86.56</v>
      </c>
      <c r="S16" s="3">
        <f>Blé_printemps!E17</f>
        <v>86.56</v>
      </c>
      <c r="T16" s="3">
        <f>IF(Blé_printemps!G17="",'Intermédiaire_Prod-Résultats'!S16,Blé_printemps!G17)</f>
        <v>86.56</v>
      </c>
      <c r="V16" s="3">
        <f>Seigle!E17</f>
        <v>60.05</v>
      </c>
      <c r="W16" s="3">
        <f>IF(Seigle!G17="",'Intermédiaire_Prod-Résultats'!V16,Seigle!G17)</f>
        <v>60.05</v>
      </c>
      <c r="Y16" s="3">
        <f>Seigle_hybride!E17</f>
        <v>60.05</v>
      </c>
      <c r="Z16" s="3">
        <f>IF(Seigle_hybride!G17="",'Intermédiaire_Prod-Résultats'!Y16,Seigle_hybride!G17)</f>
        <v>60.05</v>
      </c>
      <c r="AB16" s="3">
        <f>Prairie!E17-Saisies!B53*Saisies!B54*Saisies!B62</f>
        <v>58</v>
      </c>
      <c r="AC16" s="3">
        <f>IF(Prairie!G17="",'Intermédiaire_Prod-Résultats'!AB16,Prairie!G17-IF(Saisies!C53="",Saisies!B53,Saisies!C53)*IF(Saisies!C54="",Saisies!B54,Saisies!C54)*IF(Saisies!C62="",Saisies!B62,Saisies!C62))</f>
        <v>58</v>
      </c>
      <c r="AD16" s="37"/>
      <c r="AE16" s="34">
        <f>Chanvre!E17</f>
        <v>115.44</v>
      </c>
      <c r="AF16" s="3">
        <f>IF(Chanvre!G17="",Chanvre!E17,Chanvre!G17)</f>
        <v>115.44</v>
      </c>
      <c r="AH16" s="3">
        <f>Sarrasin!E17</f>
        <v>48.9</v>
      </c>
      <c r="AI16" s="3">
        <f>IF(Sarrasin!G17="",'Intermédiaire_Prod-Résultats'!AH16,Sarrasin!G17)</f>
        <v>48.9</v>
      </c>
      <c r="AK16" s="3">
        <f>Orge!E17</f>
        <v>64.91</v>
      </c>
      <c r="AL16" s="3">
        <f>IF(Orge!G17="",'Intermédiaire_Prod-Résultats'!AK16,Orge!G17)</f>
        <v>64.91</v>
      </c>
      <c r="AN16" s="3">
        <f>Avoine!E17</f>
        <v>64.569999999999993</v>
      </c>
      <c r="AO16" s="3">
        <f>IF(Avoine!G17="",'Intermédiaire_Prod-Résultats'!AN16,Avoine!G17)</f>
        <v>64.569999999999993</v>
      </c>
      <c r="AQ16" s="3">
        <f>'Blé_d''automne'!E17</f>
        <v>86.56</v>
      </c>
      <c r="AR16" s="3">
        <f>IF('Blé_d''automne'!G17="",'Intermédiaire_Prod-Résultats'!AQ16,'Blé_d''automne'!G17)</f>
        <v>86.56</v>
      </c>
      <c r="AT16" s="3">
        <f>Blé_printemps!E17</f>
        <v>86.56</v>
      </c>
      <c r="AU16" s="3">
        <f>IF(Blé_printemps!G17="",'Intermédiaire_Prod-Résultats'!AT16,Blé_printemps!G17)</f>
        <v>86.56</v>
      </c>
      <c r="AW16" s="3">
        <f>Seigle!E17</f>
        <v>60.05</v>
      </c>
      <c r="AX16" s="3">
        <f>IF(Seigle!G17="",'Intermédiaire_Prod-Résultats'!AW16,Seigle!G17)</f>
        <v>60.05</v>
      </c>
      <c r="AZ16" s="3">
        <f>Seigle_hybride!E17</f>
        <v>60.05</v>
      </c>
      <c r="BA16" s="3">
        <f>IF(Seigle_hybride!G17="",'Intermédiaire_Prod-Résultats'!AZ16,Seigle_hybride!G17)</f>
        <v>60.05</v>
      </c>
      <c r="BC16" s="3">
        <f>Prairie!E17-Saisies!B53*Saisies!B54*Saisies!B63</f>
        <v>40.5</v>
      </c>
      <c r="BD16" s="3">
        <f>IF(Prairie!G17="",'Intermédiaire_Prod-Résultats'!BC16,Prairie!G17-IF(Saisies!C53="",Saisies!B53,Saisies!C53)*IF(Saisies!C54="",Saisies!B54,Saisies!C54)*IF(Saisies!C63="",Saisies!B63,Saisies!C63))</f>
        <v>40.5</v>
      </c>
      <c r="BE16" s="37"/>
      <c r="BF16" s="34">
        <f>Chanvre!E17</f>
        <v>115.44</v>
      </c>
      <c r="BG16" s="3">
        <f>IF(Chanvre!G17="",Chanvre!E17,Chanvre!G17)</f>
        <v>115.44</v>
      </c>
      <c r="BI16" s="3">
        <f>Sarrasin!E17</f>
        <v>48.9</v>
      </c>
      <c r="BJ16" s="3">
        <f>IF(Sarrasin!G17="",'Intermédiaire_Prod-Résultats'!BI16,Sarrasin!G17)</f>
        <v>48.9</v>
      </c>
      <c r="BL16" s="3">
        <f>Orge!E17</f>
        <v>64.91</v>
      </c>
      <c r="BM16" s="3">
        <f>IF(Orge!G17="",'Intermédiaire_Prod-Résultats'!BL16,Orge!G17)</f>
        <v>64.91</v>
      </c>
      <c r="BO16" s="3">
        <f>Avoine!E17</f>
        <v>64.569999999999993</v>
      </c>
      <c r="BP16" s="3">
        <f>IF(Avoine!G17="",'Intermédiaire_Prod-Résultats'!BO16,Avoine!G17)</f>
        <v>64.569999999999993</v>
      </c>
      <c r="BR16" s="3">
        <f>'Blé_d''automne'!E17</f>
        <v>86.56</v>
      </c>
      <c r="BS16" s="3">
        <f>IF('Blé_d''automne'!G17="",'Intermédiaire_Prod-Résultats'!BR16,'Blé_d''automne'!G17)</f>
        <v>86.56</v>
      </c>
      <c r="BU16" s="3">
        <f>Blé_printemps!E17</f>
        <v>86.56</v>
      </c>
      <c r="BV16" s="3">
        <f>IF(Blé_printemps!G17="",'Intermédiaire_Prod-Résultats'!BU16,Blé_printemps!G17)</f>
        <v>86.56</v>
      </c>
      <c r="BX16" s="3">
        <f>Seigle!E17</f>
        <v>60.05</v>
      </c>
      <c r="BY16" s="3">
        <f>IF(Seigle!G17="",'Intermédiaire_Prod-Résultats'!BX16,Seigle!G17)</f>
        <v>60.05</v>
      </c>
      <c r="CA16" s="3">
        <f>Seigle_hybride!E17</f>
        <v>60.05</v>
      </c>
      <c r="CB16" s="3">
        <f>IF(Seigle_hybride!G17="",'Intermédiaire_Prod-Résultats'!CA16,Seigle_hybride!G17)</f>
        <v>60.05</v>
      </c>
      <c r="CD16" s="3">
        <f>Prairie!E17-Saisies!B53*Saisies!B54*Saisies!B64</f>
        <v>23</v>
      </c>
      <c r="CE16" s="3">
        <f>IF(Prairie!G17="",'Intermédiaire_Prod-Résultats'!CD16,Prairie!G17-IF(Saisies!C53="",Saisies!B53,Saisies!C53)*IF(Saisies!C54="",Saisies!B54,Saisies!C54)*IF(Saisies!C64="",Saisies!B64,Saisies!C64))</f>
        <v>23</v>
      </c>
    </row>
    <row r="17" spans="1:83" x14ac:dyDescent="0.25">
      <c r="A17" t="s">
        <v>11</v>
      </c>
      <c r="D17" s="3">
        <f>Chanvre!D18*Saisies!B8*(1+Saisies!B41*Saisies!B62)</f>
        <v>37.97</v>
      </c>
      <c r="E17" s="3">
        <f>IF(Chanvre!G18="",Chanvre!D18*IF(Saisies!C8="",Saisies!B8,Saisies!C8),Chanvre!G18)*(1+IF(Saisies!C41="",Saisies!B41,Saisies!C41)*IF(Saisies!C62="",Saisies!B62,Saisies!C62))</f>
        <v>37.97</v>
      </c>
      <c r="G17" s="3">
        <f>Sarrasin!D18*Saisies!B9*(1+Saisies!B42*Saisies!B62)</f>
        <v>44.49</v>
      </c>
      <c r="H17" s="3">
        <f>IF(Sarrasin!G18="",Sarrasin!D18*IF(Saisies!C9="",Saisies!B9,Saisies!C9),Sarrasin!G18)*(1+IF(Saisies!C42="",Saisies!B42,Saisies!C42)*IF(Saisies!C62="",Saisies!B62,Saisies!C62))</f>
        <v>44.49</v>
      </c>
      <c r="J17" s="3">
        <f>Orge!D18*Saisies!B10*(1+Saisies!B43*Saisies!B62)</f>
        <v>14.87</v>
      </c>
      <c r="K17" s="3">
        <f>IF(Orge!G18="",Orge!D18*IF(Saisies!C10="",Saisies!B10,Saisies!C10),Orge!G18)*(1+IF(Saisies!C43="",Saisies!B43,Saisies!C43)*IF(Saisies!C62="",Saisies!B62,Saisies!C62))</f>
        <v>14.87</v>
      </c>
      <c r="M17" s="3">
        <f>Avoine!D18*Saisies!B11*(1+Saisies!B44*Saisies!B62)</f>
        <v>44.99</v>
      </c>
      <c r="N17" s="3">
        <f>IF(Avoine!G18="",Avoine!D18*IF(Saisies!C11="",Saisies!B11,Saisies!C11),Avoine!G18)*(1+IF(Saisies!C44="",Saisies!B44,Saisies!C44)*IF(Saisies!C62="",Saisies!B62,Saisies!C62))</f>
        <v>44.99</v>
      </c>
      <c r="P17" s="3">
        <f>'Blé_d''automne'!D18*Saisies!B13*(1+Saisies!B46*Saisies!B62)</f>
        <v>23.28</v>
      </c>
      <c r="Q17" s="3">
        <f>IF('Blé_d''automne'!G18="",'Blé_d''automne'!D18*IF(Saisies!C13="",Saisies!B13,Saisies!C13),'Blé_d''automne'!G18)*(1+IF(Saisies!C46="",Saisies!B46,Saisies!C46)*IF(Saisies!C62="",Saisies!B62,Saisies!C62))</f>
        <v>23.28</v>
      </c>
      <c r="S17" s="3">
        <f>Blé_printemps!D18*Saisies!B12*(1+Saisies!B45*Saisies!B62)</f>
        <v>23.28</v>
      </c>
      <c r="T17" s="3">
        <f>IF(Blé_printemps!G18="",Blé_printemps!D18*IF(Saisies!C12="",Saisies!B12,Saisies!C12),Blé_printemps!G18)*(1+IF(Saisies!C45="",Saisies!B45,Saisies!C45)*IF(Saisies!C62="",Saisies!B62,Saisies!C62))</f>
        <v>23.28</v>
      </c>
      <c r="V17" s="3">
        <f>Seigle!D18*Saisies!B14*(1+Saisies!B47*Saisies!B62)</f>
        <v>39.03</v>
      </c>
      <c r="W17" s="3">
        <f>IF(Seigle!G18="",Seigle!D18*IF(Saisies!C14="",Saisies!B14,Saisies!C14),Seigle!G18)*(1+IF(Saisies!C47="",Saisies!B47,Saisies!C47)*IF(Saisies!C62="",Saisies!B62,Saisies!C62))</f>
        <v>39.03</v>
      </c>
      <c r="Y17" s="3">
        <f>Seigle_hybride!D18*Saisies!B15*(1+Saisies!B48*Saisies!B62)</f>
        <v>39.03</v>
      </c>
      <c r="Z17" s="3">
        <f>IF(Seigle_hybride!G18="",Seigle_hybride!D18*IF(Saisies!C15="",Saisies!B15,Saisies!C15),Seigle_hybride!G18)*(1+IF(Saisies!C48="",Saisies!B48,Saisies!C48)*IF(Saisies!C62="",Saisies!B62,Saisies!C62))</f>
        <v>39.03</v>
      </c>
      <c r="AB17" s="3">
        <f>Prairie!D18*Saisies!B16*(1+Saisies!B49*Saisies!B62)</f>
        <v>0</v>
      </c>
      <c r="AC17" s="3">
        <f>IF(Prairie!G18="",Prairie!D18*IF(Saisies!C16="",Saisies!B16,Saisies!C16),Prairie!G18)*(1+IF(Saisies!C49="",Saisies!B49,Saisies!C49)*IF(Saisies!C62="",Saisies!B62,Saisies!C62))</f>
        <v>0</v>
      </c>
      <c r="AD17" s="37"/>
      <c r="AE17" s="34">
        <f>(Chanvre!D18*Saisies!B8)*(1+Saisies!B41*Saisies!B63)</f>
        <v>37.97</v>
      </c>
      <c r="AF17" s="3">
        <f>IF(Chanvre!G18="",Chanvre!D18*IF(Saisies!C8="",Saisies!B8,Saisies!C8),Chanvre!G18)*(1+IF(Saisies!C41="",Saisies!B41,Saisies!C41)*IF(Saisies!C63="",Saisies!B63,Saisies!C63))</f>
        <v>37.97</v>
      </c>
      <c r="AH17" s="3">
        <f>(Sarrasin!D18*Saisies!B9)*(1+Saisies!B42*Saisies!B63)</f>
        <v>44.49</v>
      </c>
      <c r="AI17" s="3">
        <f>IF(Sarrasin!G18="",Sarrasin!D18*IF(Saisies!C9="",Saisies!B9,Saisies!C9),Sarrasin!G18)*(1+IF(Saisies!C42="",Saisies!B42,Saisies!C42)*IF(Saisies!C63="",Saisies!B63,Saisies!C63))</f>
        <v>44.49</v>
      </c>
      <c r="AK17" s="3">
        <f>(Orge!D18*Saisies!B10)*(1+Saisies!B43*Saisies!B63)</f>
        <v>14.87</v>
      </c>
      <c r="AL17" s="3">
        <f>IF(Orge!G18="",Orge!D18*IF(Saisies!C10="",Saisies!B10,Saisies!C10),Orge!G18)*(1+IF(Saisies!C43="",Saisies!B43,Saisies!C43)*IF(Saisies!C63="",Saisies!B63,Saisies!C63))</f>
        <v>14.87</v>
      </c>
      <c r="AN17" s="3">
        <f>Avoine!D18*Saisies!B11</f>
        <v>44.99</v>
      </c>
      <c r="AO17" s="3">
        <f>IF(Avoine!G18="",Avoine!D18*IF(Saisies!C11="",Saisies!B11,Saisies!C11),Avoine!G18)*(1+IF(Saisies!C44="",Saisies!B44,Saisies!C44)*IF(Saisies!C63="",Saisies!B63,Saisies!C63))</f>
        <v>44.99</v>
      </c>
      <c r="AQ17" s="3">
        <f>('Blé_d''automne'!D18*Saisies!B13)*(1+Saisies!B46*Saisies!B63)</f>
        <v>23.28</v>
      </c>
      <c r="AR17" s="3">
        <f>IF('Blé_d''automne'!G18="",'Blé_d''automne'!D18*IF(Saisies!C13="",Saisies!B13,Saisies!C13),'Blé_d''automne'!G18)*(1+IF(Saisies!C46="",Saisies!B46,Saisies!C46)*IF(Saisies!C63="",Saisies!B63,Saisies!C63))</f>
        <v>23.28</v>
      </c>
      <c r="AT17" s="3">
        <f>(Blé_printemps!D18*Saisies!B12)*(1+Saisies!B45*Saisies!B63)</f>
        <v>23.28</v>
      </c>
      <c r="AU17" s="3">
        <f>IF(Blé_printemps!G18="",Blé_printemps!D18*IF(Saisies!C12="",Saisies!B12,Saisies!C12),Blé_printemps!G18)*(1+IF(Saisies!C45="",Saisies!B45,Saisies!C45)*IF(Saisies!C63="",Saisies!B63,Saisies!C63))</f>
        <v>23.28</v>
      </c>
      <c r="AW17" s="3">
        <f>(Seigle!D18*Saisies!B14)*(1+Saisies!B47*Saisies!B63)</f>
        <v>39.03</v>
      </c>
      <c r="AX17" s="3">
        <f>IF(Seigle!G18="",Seigle!D18*IF(Saisies!C14="",Saisies!B14,Saisies!C14),Seigle!G18)*(1+IF(Saisies!C47="",Saisies!B47,Saisies!C47)*IF(Saisies!C63="",Saisies!B63,Saisies!C63))</f>
        <v>39.03</v>
      </c>
      <c r="AZ17" s="3">
        <f>(Seigle_hybride!D18*Saisies!B15)*(1+Saisies!B48*Saisies!B63)</f>
        <v>39.03</v>
      </c>
      <c r="BA17" s="3">
        <f>IF(Seigle_hybride!G18="",Seigle_hybride!D18*IF(Saisies!C15="",Saisies!B15,Saisies!C15),Seigle_hybride!G18)*(1+IF(Saisies!C48="",Saisies!B48,Saisies!C48)*IF(Saisies!C63="",Saisies!B63,Saisies!C63))</f>
        <v>39.03</v>
      </c>
      <c r="BC17" s="3">
        <f>(Prairie!D18*Saisies!B16)*(1+Saisies!B49*Saisies!B63)</f>
        <v>0</v>
      </c>
      <c r="BD17" s="3">
        <f>IF(Prairie!G18="",Prairie!D18*IF(Saisies!C16="",Saisies!B16,Saisies!C16),Prairie!G18)*(1+IF(Saisies!C49="",Saisies!B49,Saisies!C49)*IF(Saisies!C63="",Saisies!B63,Saisies!C63))</f>
        <v>0</v>
      </c>
      <c r="BE17" s="37"/>
      <c r="BF17" s="34">
        <f>(Chanvre!D18*Saisies!B8)*(1+Saisies!B41*Saisies!B64)</f>
        <v>37.97</v>
      </c>
      <c r="BG17" s="3">
        <f>IF(Chanvre!G18="",Chanvre!D18*IF(Saisies!C8="",Saisies!B8,Saisies!C8),Chanvre!G18)*(1+IF(Saisies!C41="",Saisies!B41,Saisies!C41)*IF(Saisies!C64="",Saisies!B64,Saisies!C64))</f>
        <v>37.97</v>
      </c>
      <c r="BI17" s="3">
        <f>(Sarrasin!D18*Saisies!B9)*(1+Saisies!B42*Saisies!B64)</f>
        <v>44.49</v>
      </c>
      <c r="BJ17" s="3">
        <f>IF(Sarrasin!G18="",Sarrasin!D18*IF(Saisies!C9="",Saisies!B9,Saisies!C9),Sarrasin!G18)*(1+IF(Saisies!C42="",Saisies!B42,Saisies!C42)*IF(Saisies!C64="",Saisies!B64,Saisies!C64))</f>
        <v>44.49</v>
      </c>
      <c r="BL17" s="3">
        <f>(Orge!D18*Saisies!B10)*(1+Saisies!B43*Saisies!B64)</f>
        <v>14.87</v>
      </c>
      <c r="BM17" s="3">
        <f>IF(Orge!G18="",Orge!D18*IF(Saisies!C10="",Saisies!B10,Saisies!C10),Orge!G18)*(1+IF(Saisies!C43="",Saisies!B43,Saisies!C43)*IF(Saisies!C64="",Saisies!B64,Saisies!C64))</f>
        <v>14.87</v>
      </c>
      <c r="BO17" s="3">
        <f>(Avoine!D18*Saisies!B11)*(1+Saisies!B44*Saisies!B64)</f>
        <v>44.99</v>
      </c>
      <c r="BP17" s="3">
        <f>IF(Avoine!G18="",Avoine!D18*IF(Saisies!C11="",Saisies!B11,Saisies!C11),Avoine!G18)*(1+IF(Saisies!C44="",Saisies!B44,Saisies!C44)*IF(Saisies!C64="",Saisies!B64,Saisies!C64))</f>
        <v>44.99</v>
      </c>
      <c r="BR17" s="3">
        <f>('Blé_d''automne'!D18*Saisies!B13)*(1+Saisies!B46*Saisies!B64)</f>
        <v>23.28</v>
      </c>
      <c r="BS17" s="3">
        <f>IF('Blé_d''automne'!G18="",'Blé_d''automne'!D18*IF(Saisies!C13="",Saisies!B13,Saisies!C13),'Blé_d''automne'!G18)*(1+IF(Saisies!C46="",Saisies!B46,Saisies!C46)*IF(Saisies!C64="",Saisies!B64,Saisies!C64))</f>
        <v>23.28</v>
      </c>
      <c r="BU17" s="3">
        <f>(Blé_printemps!D18*Saisies!B12)*(1+Saisies!B45*Saisies!B64)</f>
        <v>23.28</v>
      </c>
      <c r="BV17" s="3">
        <f>IF(Blé_printemps!G18="",Blé_printemps!D18*IF(Saisies!C12="",Saisies!B12,Saisies!C12),Blé_printemps!G18)*(1+IF(Saisies!C45="",Saisies!B45,Saisies!C45)*IF(Saisies!C64="",Saisies!B64,Saisies!C64))</f>
        <v>23.28</v>
      </c>
      <c r="BX17" s="3">
        <f>(Seigle!D18*Saisies!B14)*(1+Saisies!B47*Saisies!B64)</f>
        <v>39.03</v>
      </c>
      <c r="BY17" s="3">
        <f>IF(Seigle!G18="",Seigle!D18*IF(Saisies!C14="",Saisies!B14,Saisies!C14),Seigle!G18)*(1+IF(Saisies!C47="",Saisies!B47,Saisies!C47)*IF(Saisies!C64="",Saisies!B64,Saisies!C64))</f>
        <v>39.03</v>
      </c>
      <c r="CA17" s="3">
        <f>(Seigle_hybride!D18*Saisies!B15)*(1+Saisies!B48*Saisies!B64)</f>
        <v>39.03</v>
      </c>
      <c r="CB17" s="3">
        <f>IF(Seigle_hybride!G18="",Seigle_hybride!D18*IF(Saisies!C15="",Saisies!B15,Saisies!C15),Seigle_hybride!G18)*(1+IF(Saisies!C48="",Saisies!B48,Saisies!C48)*IF(Saisies!C64="",Saisies!B64,Saisies!C64))</f>
        <v>39.03</v>
      </c>
      <c r="CD17" s="3">
        <f>(Prairie!D18*Saisies!B16)*(1+Saisies!B49*Saisies!B64)</f>
        <v>0</v>
      </c>
      <c r="CE17" s="3">
        <f>IF(Prairie!G18="",Prairie!D18*IF(Saisies!C16="",Saisies!B16,Saisies!C16),Prairie!G18)*(1+IF(Saisies!C49="",Saisies!B49,Saisies!C49)*IF(Saisies!C64="",Saisies!B64,Saisies!C64))</f>
        <v>0</v>
      </c>
    </row>
    <row r="18" spans="1:83" x14ac:dyDescent="0.25">
      <c r="A18" t="s">
        <v>136</v>
      </c>
      <c r="D18" s="3">
        <f>Chanvre!E19</f>
        <v>231.99</v>
      </c>
      <c r="E18" s="3">
        <f>IF(Chanvre!G22="",'Intermédiaire_Prod-Résultats'!D18,Chanvre!G22)</f>
        <v>231.99</v>
      </c>
      <c r="G18" s="3">
        <f>Sarrasin!E19</f>
        <v>145.07</v>
      </c>
      <c r="H18" s="3">
        <f>IF(Sarrasin!G19="",'Intermédiaire_Prod-Résultats'!G18,Sarrasin!G19)</f>
        <v>145.07</v>
      </c>
      <c r="J18" s="3">
        <f>Orge!E19</f>
        <v>323.33</v>
      </c>
      <c r="K18" s="3">
        <f>IF(Orge!G19="",'Intermédiaire_Prod-Résultats'!J18,Orge!G19)</f>
        <v>323.33</v>
      </c>
      <c r="M18" s="3">
        <f>Avoine!E19</f>
        <v>272.22000000000003</v>
      </c>
      <c r="N18" s="3">
        <f>IF(Avoine!G19="",'Intermédiaire_Prod-Résultats'!M18,Avoine!G19)</f>
        <v>272.22000000000003</v>
      </c>
      <c r="P18" s="3">
        <f>'Blé_d''automne'!E19</f>
        <v>103.24</v>
      </c>
      <c r="Q18" s="3">
        <f>IF('Blé_d''automne'!G19="",'Intermédiaire_Prod-Résultats'!P18,'Blé_d''automne'!G19)</f>
        <v>103.24</v>
      </c>
      <c r="S18" s="3">
        <f>Blé_printemps!E19</f>
        <v>103.24</v>
      </c>
      <c r="T18" s="3">
        <f>IF(Blé_printemps!G19="",'Intermédiaire_Prod-Résultats'!S18,Blé_printemps!G19)</f>
        <v>103.24</v>
      </c>
      <c r="V18" s="3">
        <f>Seigle!E19</f>
        <v>160.85</v>
      </c>
      <c r="W18" s="3">
        <f>IF(Seigle!G19="",'Intermédiaire_Prod-Résultats'!V18,Seigle!G19)</f>
        <v>160.85</v>
      </c>
      <c r="Y18" s="3">
        <f>Seigle_hybride!E19</f>
        <v>160.85</v>
      </c>
      <c r="Z18" s="3">
        <f>IF(Seigle_hybride!G19="",'Intermédiaire_Prod-Résultats'!Y18,Seigle_hybride!G19)</f>
        <v>160.85</v>
      </c>
      <c r="AB18" s="3">
        <f>Prairie!E19</f>
        <v>205</v>
      </c>
      <c r="AC18" s="3">
        <f>IF(Prairie!G19="",'Intermédiaire_Prod-Résultats'!AB18,Prairie!G19)</f>
        <v>205</v>
      </c>
      <c r="AD18" s="37"/>
      <c r="AE18" s="34">
        <f>Chanvre!E19</f>
        <v>231.99</v>
      </c>
      <c r="AF18" s="3">
        <f>IF(Chanvre!G22="",'Intermédiaire_Prod-Résultats'!AE18,Chanvre!G22)</f>
        <v>231.99</v>
      </c>
      <c r="AH18" s="3">
        <f>Sarrasin!E19</f>
        <v>145.07</v>
      </c>
      <c r="AI18" s="3">
        <f>IF(Sarrasin!G19="",'Intermédiaire_Prod-Résultats'!AH18,Sarrasin!G19)</f>
        <v>145.07</v>
      </c>
      <c r="AK18" s="3">
        <f>Orge!E19</f>
        <v>323.33</v>
      </c>
      <c r="AL18" s="3">
        <f>IF(Orge!G19="",'Intermédiaire_Prod-Résultats'!AK18,Orge!G19)</f>
        <v>323.33</v>
      </c>
      <c r="AN18" s="3">
        <f>Avoine!E19</f>
        <v>272.22000000000003</v>
      </c>
      <c r="AO18" s="3">
        <f>IF(Avoine!G19="",'Intermédiaire_Prod-Résultats'!AN18,Avoine!G19)</f>
        <v>272.22000000000003</v>
      </c>
      <c r="AQ18" s="3">
        <f>'Blé_d''automne'!E19</f>
        <v>103.24</v>
      </c>
      <c r="AR18" s="3">
        <f>IF('Blé_d''automne'!G19="",'Intermédiaire_Prod-Résultats'!AQ18,'Blé_d''automne'!G19)</f>
        <v>103.24</v>
      </c>
      <c r="AT18" s="3">
        <f>Blé_printemps!E19</f>
        <v>103.24</v>
      </c>
      <c r="AU18" s="3">
        <f>IF(Blé_printemps!G19="",'Intermédiaire_Prod-Résultats'!AT18,Blé_printemps!G19)</f>
        <v>103.24</v>
      </c>
      <c r="AW18" s="3">
        <f>Seigle!E19</f>
        <v>160.85</v>
      </c>
      <c r="AX18" s="3">
        <f>IF(Seigle!G19="",'Intermédiaire_Prod-Résultats'!AW18,Seigle!G19)</f>
        <v>160.85</v>
      </c>
      <c r="AZ18" s="3">
        <f>Seigle_hybride!E19</f>
        <v>160.85</v>
      </c>
      <c r="BA18" s="3">
        <f>IF(Seigle_hybride!G19="",'Intermédiaire_Prod-Résultats'!AZ18,Seigle_hybride!G19)</f>
        <v>160.85</v>
      </c>
      <c r="BC18" s="3">
        <f>Prairie!E19</f>
        <v>205</v>
      </c>
      <c r="BD18" s="3">
        <f>IF(Prairie!G19="",'Intermédiaire_Prod-Résultats'!BC18,Prairie!G19)</f>
        <v>205</v>
      </c>
      <c r="BE18" s="37"/>
      <c r="BF18" s="34">
        <f>Chanvre!E19</f>
        <v>231.99</v>
      </c>
      <c r="BG18" s="3">
        <f>IF(Chanvre!G19="",'Intermédiaire_Prod-Résultats'!BF18,Chanvre!G19)</f>
        <v>231.99</v>
      </c>
      <c r="BI18" s="3">
        <f>Sarrasin!E19</f>
        <v>145.07</v>
      </c>
      <c r="BJ18" s="3">
        <f>IF(Sarrasin!G19="",'Intermédiaire_Prod-Résultats'!BI18,Sarrasin!G19)</f>
        <v>145.07</v>
      </c>
      <c r="BL18" s="3">
        <f>Orge!E19</f>
        <v>323.33</v>
      </c>
      <c r="BM18" s="3">
        <f>IF(Orge!G19="",'Intermédiaire_Prod-Résultats'!BL18,Orge!G19)</f>
        <v>323.33</v>
      </c>
      <c r="BO18" s="3">
        <f>Avoine!E19</f>
        <v>272.22000000000003</v>
      </c>
      <c r="BP18" s="3">
        <f>IF(Avoine!G19="",'Intermédiaire_Prod-Résultats'!BO18,Avoine!G19)</f>
        <v>272.22000000000003</v>
      </c>
      <c r="BR18" s="3">
        <f>'Blé_d''automne'!E19</f>
        <v>103.24</v>
      </c>
      <c r="BS18" s="3">
        <f>IF('Blé_d''automne'!G19="",'Intermédiaire_Prod-Résultats'!BR18,'Blé_d''automne'!G19)</f>
        <v>103.24</v>
      </c>
      <c r="BU18" s="3">
        <f>Blé_printemps!E19</f>
        <v>103.24</v>
      </c>
      <c r="BV18" s="3">
        <f>IF(Blé_printemps!G19="",'Intermédiaire_Prod-Résultats'!BU18,Blé_printemps!G19)</f>
        <v>103.24</v>
      </c>
      <c r="BX18" s="3">
        <f>Seigle!E19</f>
        <v>160.85</v>
      </c>
      <c r="BY18" s="3">
        <f>IF(Seigle!G19="",'Intermédiaire_Prod-Résultats'!BX18,Seigle!G19)</f>
        <v>160.85</v>
      </c>
      <c r="CA18" s="3">
        <f>Seigle_hybride!E19</f>
        <v>160.85</v>
      </c>
      <c r="CB18" s="3">
        <f>IF(Seigle_hybride!G19="",'Intermédiaire_Prod-Résultats'!CA18,Seigle_hybride!G19)</f>
        <v>160.85</v>
      </c>
      <c r="CD18" s="3">
        <f>Prairie!E19</f>
        <v>205</v>
      </c>
      <c r="CE18" s="3">
        <f>IF(Prairie!G19="",'Intermédiaire_Prod-Résultats'!CD18,Prairie!G19)</f>
        <v>205</v>
      </c>
    </row>
    <row r="19" spans="1:83" x14ac:dyDescent="0.25">
      <c r="A19" t="s">
        <v>137</v>
      </c>
      <c r="D19" s="3">
        <f>Chanvre!E20</f>
        <v>140.34</v>
      </c>
      <c r="E19" s="3">
        <f>IF(Chanvre!G23="",'Intermédiaire_Prod-Résultats'!D19,Chanvre!G23)</f>
        <v>140.34</v>
      </c>
      <c r="G19" s="3">
        <f>Sarrasin!E20</f>
        <v>209.65</v>
      </c>
      <c r="H19" s="3">
        <f>IF(Sarrasin!G20="",'Intermédiaire_Prod-Résultats'!G19,Sarrasin!G20)</f>
        <v>209.65</v>
      </c>
      <c r="J19" s="3">
        <f>Orge!E20</f>
        <v>204.14</v>
      </c>
      <c r="K19" s="3">
        <f>IF(Orge!G20="",'Intermédiaire_Prod-Résultats'!J19,Orge!G20)</f>
        <v>204.14</v>
      </c>
      <c r="M19" s="3">
        <f>Avoine!E20</f>
        <v>163.11000000000001</v>
      </c>
      <c r="N19" s="3">
        <f>IF(Avoine!G20="",'Intermédiaire_Prod-Résultats'!M19,Avoine!G20)</f>
        <v>163.11000000000001</v>
      </c>
      <c r="P19" s="3">
        <f>'Blé_d''automne'!E20</f>
        <v>213.57</v>
      </c>
      <c r="Q19" s="3">
        <f>IF('Blé_d''automne'!G20="",'Intermédiaire_Prod-Résultats'!P19,'Blé_d''automne'!G20)</f>
        <v>213.57</v>
      </c>
      <c r="S19" s="3">
        <f>Blé_printemps!E20</f>
        <v>213.57</v>
      </c>
      <c r="T19" s="3">
        <f>IF(Blé_printemps!G20="",'Intermédiaire_Prod-Résultats'!S19,Blé_printemps!G20)</f>
        <v>213.57</v>
      </c>
      <c r="V19" s="3">
        <f>Seigle!E20</f>
        <v>200.93</v>
      </c>
      <c r="W19" s="3">
        <f>IF(Seigle!G20="",'Intermédiaire_Prod-Résultats'!V19,Seigle!G20)</f>
        <v>200.93</v>
      </c>
      <c r="Y19" s="3">
        <f>Seigle_hybride!E20</f>
        <v>200.93</v>
      </c>
      <c r="Z19" s="3">
        <f>IF(Seigle_hybride!G20="",'Intermédiaire_Prod-Résultats'!Y19,Seigle_hybride!G20)</f>
        <v>200.93</v>
      </c>
      <c r="AB19" s="3">
        <f>Prairie!E20</f>
        <v>171</v>
      </c>
      <c r="AC19" s="3">
        <f>IF(Prairie!G20="",'Intermédiaire_Prod-Résultats'!AB19,Prairie!G20)</f>
        <v>171</v>
      </c>
      <c r="AD19" s="37"/>
      <c r="AE19" s="34">
        <f>Chanvre!E20</f>
        <v>140.34</v>
      </c>
      <c r="AF19" s="3">
        <f>IF(Chanvre!G23="",'Intermédiaire_Prod-Résultats'!AE19,Chanvre!G23)</f>
        <v>140.34</v>
      </c>
      <c r="AH19" s="3">
        <f>Sarrasin!E20</f>
        <v>209.65</v>
      </c>
      <c r="AI19" s="3">
        <f>IF(Sarrasin!G20="",'Intermédiaire_Prod-Résultats'!AH19,Sarrasin!G20)</f>
        <v>209.65</v>
      </c>
      <c r="AK19" s="3">
        <f>Orge!E20</f>
        <v>204.14</v>
      </c>
      <c r="AL19" s="3">
        <f>IF(Orge!G20="",'Intermédiaire_Prod-Résultats'!AK19,Orge!G20)</f>
        <v>204.14</v>
      </c>
      <c r="AN19" s="3">
        <f>Avoine!E20</f>
        <v>163.11000000000001</v>
      </c>
      <c r="AO19" s="3">
        <f>IF(Avoine!G20="",'Intermédiaire_Prod-Résultats'!AN19,Avoine!G20)</f>
        <v>163.11000000000001</v>
      </c>
      <c r="AQ19" s="3">
        <f>'Blé_d''automne'!E20</f>
        <v>213.57</v>
      </c>
      <c r="AR19" s="3">
        <f>IF('Blé_d''automne'!G20="",'Intermédiaire_Prod-Résultats'!AQ19,'Blé_d''automne'!G20)</f>
        <v>213.57</v>
      </c>
      <c r="AT19" s="3">
        <f>Blé_printemps!E20</f>
        <v>213.57</v>
      </c>
      <c r="AU19" s="3">
        <f>IF(Blé_printemps!G20="",'Intermédiaire_Prod-Résultats'!AT19,Blé_printemps!G20)</f>
        <v>213.57</v>
      </c>
      <c r="AW19" s="3">
        <f>Seigle!E20</f>
        <v>200.93</v>
      </c>
      <c r="AX19" s="3">
        <f>IF(Seigle!G20="",'Intermédiaire_Prod-Résultats'!AW19,Seigle!G20)</f>
        <v>200.93</v>
      </c>
      <c r="AZ19" s="3">
        <f>Seigle_hybride!E20</f>
        <v>200.93</v>
      </c>
      <c r="BA19" s="3">
        <f>IF(Seigle_hybride!G20="",'Intermédiaire_Prod-Résultats'!AZ19,Seigle_hybride!G20)</f>
        <v>200.93</v>
      </c>
      <c r="BC19" s="3">
        <f>Prairie!E20</f>
        <v>171</v>
      </c>
      <c r="BD19" s="3">
        <f>IF(Prairie!G20="",'Intermédiaire_Prod-Résultats'!BC19,Prairie!G20)</f>
        <v>171</v>
      </c>
      <c r="BE19" s="37"/>
      <c r="BF19" s="34">
        <f>Chanvre!E20</f>
        <v>140.34</v>
      </c>
      <c r="BG19" s="3">
        <f>IF(Chanvre!G20="",'Intermédiaire_Prod-Résultats'!BF19,Chanvre!G20)</f>
        <v>140.34</v>
      </c>
      <c r="BI19" s="3">
        <f>Sarrasin!E20</f>
        <v>209.65</v>
      </c>
      <c r="BJ19" s="3">
        <f>IF(Sarrasin!G20="",'Intermédiaire_Prod-Résultats'!BI19,Sarrasin!G20)</f>
        <v>209.65</v>
      </c>
      <c r="BL19" s="3">
        <f>Orge!E20</f>
        <v>204.14</v>
      </c>
      <c r="BM19" s="3">
        <f>IF(Orge!G20="",'Intermédiaire_Prod-Résultats'!BL19,Orge!G20)</f>
        <v>204.14</v>
      </c>
      <c r="BO19" s="3">
        <f>Avoine!E20</f>
        <v>163.11000000000001</v>
      </c>
      <c r="BP19" s="3">
        <f>IF(Avoine!G20="",'Intermédiaire_Prod-Résultats'!BO19,Avoine!G20)</f>
        <v>163.11000000000001</v>
      </c>
      <c r="BR19" s="3">
        <f>'Blé_d''automne'!E20</f>
        <v>213.57</v>
      </c>
      <c r="BS19" s="3">
        <f>IF('Blé_d''automne'!G20="",'Intermédiaire_Prod-Résultats'!BR19,'Blé_d''automne'!G20)</f>
        <v>213.57</v>
      </c>
      <c r="BU19" s="3">
        <f>Blé_printemps!E20</f>
        <v>213.57</v>
      </c>
      <c r="BV19" s="3">
        <f>IF(Blé_printemps!G20="",'Intermédiaire_Prod-Résultats'!BU19,Blé_printemps!G20)</f>
        <v>213.57</v>
      </c>
      <c r="BX19" s="3">
        <f>Seigle!E20</f>
        <v>200.93</v>
      </c>
      <c r="BY19" s="3">
        <f>IF(Seigle!G20="",'Intermédiaire_Prod-Résultats'!BX19,Seigle!G20)</f>
        <v>200.93</v>
      </c>
      <c r="CA19" s="3">
        <f>Seigle_hybride!E20</f>
        <v>200.93</v>
      </c>
      <c r="CB19" s="3">
        <f>IF(Seigle_hybride!G20="",'Intermédiaire_Prod-Résultats'!CA19,Seigle_hybride!G20)</f>
        <v>200.93</v>
      </c>
      <c r="CD19" s="3">
        <f>Prairie!E20</f>
        <v>171</v>
      </c>
      <c r="CE19" s="3">
        <f>IF(Prairie!G20="",'Intermédiaire_Prod-Résultats'!CD19,Prairie!G20)</f>
        <v>171</v>
      </c>
    </row>
    <row r="20" spans="1:83" x14ac:dyDescent="0.25">
      <c r="A20" t="s">
        <v>138</v>
      </c>
      <c r="D20" s="3">
        <f>Chanvre!D21*Saisies!B8*(1+Saisies!B41*Saisies!B62)</f>
        <v>109.13</v>
      </c>
      <c r="E20" s="3">
        <f>IF(Chanvre!G21="",Chanvre!D21*IF(Saisies!C8="",Saisies!B8,Saisies!C8),Chanvre!G21)*(1+IF(Saisies!C41="",Saisies!B41,Saisies!C41)*IF(Saisies!C62="",Saisies!B62,Saisies!C62))</f>
        <v>109.13</v>
      </c>
      <c r="G20" s="3">
        <f>Sarrasin!D21*Saisies!B9*(1+Saisies!B42*Saisies!B62)</f>
        <v>160.38</v>
      </c>
      <c r="H20" s="3">
        <f>IF(Sarrasin!G21="",Sarrasin!D21*IF(Saisies!C9="",Saisies!B9,Saisies!C9),Sarrasin!G21)*(1+IF(Saisies!C42="",Saisies!B42,Saisies!C42)*IF(Saisies!C62="",Saisies!B62,Saisies!C62))</f>
        <v>160.38</v>
      </c>
      <c r="J20" s="3">
        <f>Orge!D21*Saisies!B10*(1+Saisies!B43*Saisies!B62)</f>
        <v>122.32</v>
      </c>
      <c r="K20" s="3">
        <f>IF(Orge!G21="",Orge!D21*IF(Saisies!C10="",Saisies!B10,Saisies!C10),Orge!G21)*(1+IF(Saisies!C43="",Saisies!B43,Saisies!C43)*IF(Saisies!C62="",Saisies!B62,Saisies!C62))</f>
        <v>122.32</v>
      </c>
      <c r="M20" s="3">
        <f>Avoine!D21*Saisies!B11*(1+Saisies!B44*Saisies!B62)</f>
        <v>119.16</v>
      </c>
      <c r="N20" s="3">
        <f>IF(Avoine!G21="",Avoine!D21*IF(Saisies!C11="",Saisies!B11,Saisies!C11),Avoine!G21)*(1+IF(Saisies!C44="",Saisies!B44,Saisies!C44)*IF(Saisies!C62="",Saisies!B62,Saisies!C62))</f>
        <v>119.16</v>
      </c>
      <c r="P20" s="3">
        <f>'Blé_d''automne'!D21*Saisies!B13*(1+Saisies!B46*Saisies!B62)</f>
        <v>139.03</v>
      </c>
      <c r="Q20" s="3">
        <f>IF('Blé_d''automne'!G21="",'Blé_d''automne'!D21*IF(Saisies!C13="",Saisies!B13,Saisies!C13),'Blé_d''automne'!G21)*(1+IF(Saisies!C46="",Saisies!B46,Saisies!C46)*IF(Saisies!C62="",Saisies!B62,Saisies!C62))</f>
        <v>139.03</v>
      </c>
      <c r="S20" s="3">
        <f>Blé_printemps!D21*Saisies!B12*(1+Saisies!B45*Saisies!B62)</f>
        <v>139.03</v>
      </c>
      <c r="T20" s="3">
        <f>IF(Blé_printemps!G21="",Blé_printemps!D21*IF(Saisies!C12="",Saisies!B12,Saisies!C12),Blé_printemps!G21)*(1+IF(Saisies!C45="",Saisies!B45,Saisies!C45)*IF(Saisies!C62="",Saisies!B62,Saisies!C62))</f>
        <v>139.03</v>
      </c>
      <c r="V20" s="3">
        <f>Seigle!D21*Saisies!B14*(1+Saisies!B47*Saisies!B62)</f>
        <v>106.62</v>
      </c>
      <c r="W20" s="3">
        <f>IF(Seigle!G21="",Seigle!D21*IF(Saisies!C14="",Saisies!B14,Saisies!C14),Seigle!G21)*(1+IF(Saisies!C47="",Saisies!B47,Saisies!C47)*IF(Saisies!C62="",Saisies!B62,Saisies!C62))</f>
        <v>106.62</v>
      </c>
      <c r="Y20" s="3">
        <f>Seigle_hybride!D21*Saisies!B15*(1+Saisies!B48*Saisies!B62)</f>
        <v>106.62</v>
      </c>
      <c r="Z20" s="3">
        <f>IF(Seigle_hybride!G21="",Seigle_hybride!D21*IF(Saisies!C15="",Saisies!B15,Saisies!C15),Seigle_hybride!G21)*(1+IF(Saisies!C48="",Saisies!B48,Saisies!C48)*IF(Saisies!C62="",Saisies!B62,Saisies!C62))</f>
        <v>106.62</v>
      </c>
      <c r="AB20" s="3">
        <f>Prairie!D21*Saisies!B16*(1+Saisies!B49*Saisies!B62)</f>
        <v>122</v>
      </c>
      <c r="AC20" s="3">
        <f>IF(Prairie!G21="",Prairie!D21*IF(Saisies!C16="",Saisies!B16,Saisies!C16),Prairie!G21)*(1+IF(Saisies!C49="",Saisies!B49,Saisies!C49)*IF(Saisies!C62="",Saisies!B62,Saisies!C62))</f>
        <v>122</v>
      </c>
      <c r="AD20" s="37"/>
      <c r="AE20" s="34">
        <f>(Chanvre!D21*Saisies!B8)*(1+Saisies!B41*Saisies!B63)</f>
        <v>109.13</v>
      </c>
      <c r="AF20" s="3">
        <f>IF(Chanvre!G21="",Chanvre!D21*IF(Saisies!C8="",Saisies!B8,Saisies!C8),Chanvre!G21)*(1+IF(Saisies!C41="",Saisies!B41,Saisies!C41)*IF(Saisies!C63="",Saisies!B63,Saisies!C63))</f>
        <v>109.13</v>
      </c>
      <c r="AH20" s="3">
        <f>(Sarrasin!D21*Saisies!B9)*(1+Saisies!B42*Saisies!B63)</f>
        <v>160.38</v>
      </c>
      <c r="AI20" s="3">
        <f>IF(Sarrasin!G21="",Sarrasin!D21*IF(Saisies!C9="",Saisies!B9,Saisies!C9),Sarrasin!G21)*(1+IF(Saisies!C42="",Saisies!B42,Saisies!C42)*IF(Saisies!C63="",Saisies!B63,Saisies!C63))</f>
        <v>160.38</v>
      </c>
      <c r="AK20" s="3">
        <f>(Orge!D21*Saisies!B10)*(1+Saisies!B43*Saisies!B63)</f>
        <v>122.32</v>
      </c>
      <c r="AL20" s="3">
        <f>IF(Orge!G21="",Orge!D21*IF(Saisies!C10="",Saisies!B10,Saisies!C10),Orge!G21)*(1+IF(Saisies!C43="",Saisies!B43,Saisies!C43)*IF(Saisies!C63="",Saisies!B63,Saisies!C63))</f>
        <v>122.32</v>
      </c>
      <c r="AN20" s="3">
        <f>Avoine!D21*Saisies!B11</f>
        <v>119.16</v>
      </c>
      <c r="AO20" s="3">
        <f>IF(Avoine!G21="",Avoine!D21*IF(Saisies!C11="",Saisies!B11,Saisies!C11),Avoine!G21)*(1+IF(Saisies!C44="",Saisies!B44,Saisies!C44)*IF(Saisies!C63="",Saisies!B63,Saisies!C63))</f>
        <v>119.16</v>
      </c>
      <c r="AQ20" s="3">
        <f>('Blé_d''automne'!D21*Saisies!B13)*(1+Saisies!B46*Saisies!B63)</f>
        <v>139.03</v>
      </c>
      <c r="AR20" s="3">
        <f>IF('Blé_d''automne'!G21="",'Blé_d''automne'!D21*IF(Saisies!C13="",Saisies!B13,Saisies!C13),'Blé_d''automne'!G21)*(1+IF(Saisies!C46="",Saisies!B46,Saisies!C46)*IF(Saisies!C63="",Saisies!B63,Saisies!C63))</f>
        <v>139.03</v>
      </c>
      <c r="AT20" s="3">
        <f>(Blé_printemps!D21*Saisies!B12)*(1+Saisies!B45*Saisies!B63)</f>
        <v>139.03</v>
      </c>
      <c r="AU20" s="3">
        <f>IF(Blé_printemps!G21="",Blé_printemps!D21*IF(Saisies!C12="",Saisies!B12,Saisies!C12),Blé_printemps!G21)*(1+IF(Saisies!C45="",Saisies!B45,Saisies!C45)*IF(Saisies!C63="",Saisies!B63,Saisies!C63))</f>
        <v>139.03</v>
      </c>
      <c r="AW20" s="3">
        <f>(Seigle!D21*Saisies!B14)*(1+Saisies!B47*Saisies!B63)</f>
        <v>106.62</v>
      </c>
      <c r="AX20" s="3">
        <f>IF(Seigle!G21="",Seigle!D21*IF(Saisies!C14="",Saisies!B14,Saisies!C14),Seigle!G21)*(1+IF(Saisies!C47="",Saisies!B47,Saisies!C47)*IF(Saisies!C63="",Saisies!B63,Saisies!C63))</f>
        <v>106.62</v>
      </c>
      <c r="AZ20" s="3">
        <f>(Seigle_hybride!D21*Saisies!B15)*(1+Saisies!B48*Saisies!B63)</f>
        <v>106.62</v>
      </c>
      <c r="BA20" s="3">
        <f>IF(Seigle_hybride!G21="",Seigle_hybride!D21*IF(Saisies!C15="",Saisies!B15,Saisies!C15),Seigle_hybride!G21)*(1+IF(Saisies!C48="",Saisies!B48,Saisies!C48)*IF(Saisies!C63="",Saisies!B63,Saisies!C63))</f>
        <v>106.62</v>
      </c>
      <c r="BC20" s="3">
        <f>(Prairie!D21*Saisies!B16)*(1+Saisies!B49*Saisies!B63)</f>
        <v>122</v>
      </c>
      <c r="BD20" s="3">
        <f>IF(Prairie!G21="",Prairie!D21*IF(Saisies!C16="",Saisies!B16,Saisies!C16),Prairie!G21)*(1+IF(Saisies!C49="",Saisies!B49,Saisies!C49)*IF(Saisies!C63="",Saisies!B63,Saisies!C63))</f>
        <v>122</v>
      </c>
      <c r="BE20" s="37"/>
      <c r="BF20" s="34">
        <f>(Chanvre!D21*Saisies!B8)*(1+Saisies!B41*Saisies!B64)</f>
        <v>109.13</v>
      </c>
      <c r="BG20" s="3">
        <f>IF(Chanvre!G21="",Chanvre!D21*IF(Saisies!C8="",Saisies!B8,Saisies!C8),Chanvre!G21)*(1+IF(Saisies!C41="",Saisies!B41,Saisies!C41)*IF(Saisies!C64="",Saisies!B64,Saisies!C64))</f>
        <v>109.13</v>
      </c>
      <c r="BI20" s="3">
        <f>(Sarrasin!D21*Saisies!B9)*(1+Saisies!B42*Saisies!B64)</f>
        <v>160.38</v>
      </c>
      <c r="BJ20" s="3">
        <f>IF(Sarrasin!G21="",Sarrasin!D21*IF(Saisies!C9="",Saisies!B9,Saisies!C9),Sarrasin!G21)*(1+IF(Saisies!C42="",Saisies!B42,Saisies!C42)*IF(Saisies!C64="",Saisies!B64,Saisies!C64))</f>
        <v>160.38</v>
      </c>
      <c r="BL20" s="3">
        <f>(Orge!D21*Saisies!B10)*(1+Saisies!B43*Saisies!B64)</f>
        <v>122.32</v>
      </c>
      <c r="BM20" s="3">
        <f>IF(Orge!G21="",Orge!D21*IF(Saisies!C10="",Saisies!B10,Saisies!C10),Orge!G21)*(1+IF(Saisies!C43="",Saisies!B43,Saisies!C43)*IF(Saisies!C64="",Saisies!B64,Saisies!C64))</f>
        <v>122.32</v>
      </c>
      <c r="BO20" s="3">
        <f>(Avoine!D21*Saisies!B11)*(1+Saisies!B44*Saisies!B64)</f>
        <v>119.16</v>
      </c>
      <c r="BP20" s="3">
        <f>IF(Avoine!G21="",Avoine!D21*IF(Saisies!C11="",Saisies!B11,Saisies!C11),Avoine!G21)*(1+IF(Saisies!C44="",Saisies!B44,Saisies!C44)*IF(Saisies!C64="",Saisies!B64,Saisies!C64))</f>
        <v>119.16</v>
      </c>
      <c r="BR20" s="3">
        <f>('Blé_d''automne'!D21*Saisies!B13)*(1+Saisies!B46*Saisies!B64)</f>
        <v>139.03</v>
      </c>
      <c r="BS20" s="3">
        <f>IF('Blé_d''automne'!G21="",'Blé_d''automne'!D21*IF(Saisies!C13="",Saisies!B13,Saisies!C13),'Blé_d''automne'!G21)*(1+IF(Saisies!C46="",Saisies!B46,Saisies!C46)*IF(Saisies!C64="",Saisies!B64,Saisies!C64))</f>
        <v>139.03</v>
      </c>
      <c r="BU20" s="3">
        <f>(Blé_printemps!D21*Saisies!B12)*(1+Saisies!B45*Saisies!B64)</f>
        <v>139.03</v>
      </c>
      <c r="BV20" s="3">
        <f>IF(Blé_printemps!G21="",Blé_printemps!D21*IF(Saisies!C12="",Saisies!B12,Saisies!C12),Blé_printemps!G21)*(1+IF(Saisies!C45="",Saisies!B45,Saisies!C45)*IF(Saisies!C64="",Saisies!B64,Saisies!C64))</f>
        <v>139.03</v>
      </c>
      <c r="BX20" s="3">
        <f>(Seigle!D21*Saisies!B14)*(1+Saisies!B47*Saisies!B64)</f>
        <v>106.62</v>
      </c>
      <c r="BY20" s="3">
        <f>IF(Seigle!G21="",Seigle!D21*IF(Saisies!C14="",Saisies!B14,Saisies!C14),Seigle!G21)*(1+IF(Saisies!C47="",Saisies!B47,Saisies!C47)*IF(Saisies!C64="",Saisies!B64,Saisies!C64))</f>
        <v>106.62</v>
      </c>
      <c r="CA20" s="3">
        <f>(Seigle_hybride!D21*Saisies!B15)*(1+Saisies!B48*Saisies!B64)</f>
        <v>106.62</v>
      </c>
      <c r="CB20" s="3">
        <f>IF(Seigle_hybride!G21="",Seigle_hybride!D21*IF(Saisies!C15="",Saisies!B15,Saisies!C15),Seigle_hybride!G21)*(1+IF(Saisies!C48="",Saisies!B48,Saisies!C48)*IF(Saisies!C64="",Saisies!B64,Saisies!C64))</f>
        <v>106.62</v>
      </c>
      <c r="CD20" s="3">
        <f>(Prairie!D21*Saisies!B16)*(1+Saisies!B49*Saisies!B64)</f>
        <v>122</v>
      </c>
      <c r="CE20" s="3">
        <f>IF(Prairie!G21="",Prairie!D21*IF(Saisies!C16="",Saisies!B16,Saisies!C16),Prairie!G21)*(1+IF(Saisies!C49="",Saisies!B49,Saisies!C49)*IF(Saisies!C64="",Saisies!B64,Saisies!C64))</f>
        <v>122</v>
      </c>
    </row>
    <row r="21" spans="1:83" x14ac:dyDescent="0.25">
      <c r="A21" t="s">
        <v>141</v>
      </c>
      <c r="D21" s="3">
        <f>Chanvre!E22</f>
        <v>68.27</v>
      </c>
      <c r="E21" s="3">
        <f>IF(Chanvre!G22="",'Intermédiaire_Prod-Résultats'!D21,Chanvre!G22)</f>
        <v>68.27</v>
      </c>
      <c r="G21" s="3">
        <f>Sarrasin!E22</f>
        <v>62.77</v>
      </c>
      <c r="H21" s="3">
        <f>IF(Sarrasin!G22="",'Intermédiaire_Prod-Résultats'!G21,Sarrasin!G22)</f>
        <v>62.77</v>
      </c>
      <c r="J21" s="3">
        <f>Orge!E22</f>
        <v>54.75</v>
      </c>
      <c r="K21" s="3">
        <f>IF(Orge!G22="",'Intermédiaire_Prod-Résultats'!J21,Orge!G22)</f>
        <v>54.75</v>
      </c>
      <c r="M21" s="3">
        <f>Avoine!E22</f>
        <v>61.46</v>
      </c>
      <c r="N21" s="3">
        <f>IF(Avoine!G22="",'Intermédiaire_Prod-Résultats'!M21,Avoine!G22)</f>
        <v>61.46</v>
      </c>
      <c r="P21" s="3">
        <f>'Blé_d''automne'!E22</f>
        <v>88.19</v>
      </c>
      <c r="Q21" s="3">
        <f>IF('Blé_d''automne'!G22="",'Intermédiaire_Prod-Résultats'!P21,'Blé_d''automne'!G22)</f>
        <v>88.19</v>
      </c>
      <c r="S21" s="3">
        <f>Blé_printemps!E22</f>
        <v>88.19</v>
      </c>
      <c r="T21" s="3">
        <f>IF(Blé_printemps!G22="",'Intermédiaire_Prod-Résultats'!S21,Blé_printemps!G22)</f>
        <v>88.19</v>
      </c>
      <c r="V21" s="3">
        <f>Seigle!E22</f>
        <v>55.35</v>
      </c>
      <c r="W21" s="3">
        <f>IF(Seigle!G22="",'Intermédiaire_Prod-Résultats'!V21,Seigle!G22)</f>
        <v>55.35</v>
      </c>
      <c r="Y21" s="3">
        <f>Seigle_hybride!E22</f>
        <v>55.35</v>
      </c>
      <c r="Z21" s="3">
        <f>IF(Seigle_hybride!G22="",'Intermédiaire_Prod-Résultats'!Y21,Seigle_hybride!G22)</f>
        <v>55.35</v>
      </c>
      <c r="AB21" s="3">
        <f>Prairie!E22</f>
        <v>74</v>
      </c>
      <c r="AC21" s="3">
        <f>IF(Prairie!G22="",'Intermédiaire_Prod-Résultats'!AB21,Prairie!G22)</f>
        <v>74</v>
      </c>
      <c r="AD21" s="37"/>
      <c r="AE21" s="34">
        <f>Chanvre!E22</f>
        <v>68.27</v>
      </c>
      <c r="AF21" s="3">
        <f>IF(Chanvre!G22="",'Intermédiaire_Prod-Résultats'!AE21,Chanvre!G22)</f>
        <v>68.27</v>
      </c>
      <c r="AH21" s="3">
        <f>Sarrasin!E22</f>
        <v>62.77</v>
      </c>
      <c r="AI21" s="3">
        <f>IF(Sarrasin!G22="",'Intermédiaire_Prod-Résultats'!AH21,Sarrasin!G22)</f>
        <v>62.77</v>
      </c>
      <c r="AK21" s="3">
        <f>Orge!E22</f>
        <v>54.75</v>
      </c>
      <c r="AL21" s="3">
        <f>IF(Orge!G22="",'Intermédiaire_Prod-Résultats'!AK21,Orge!G22)</f>
        <v>54.75</v>
      </c>
      <c r="AN21" s="3">
        <f>Avoine!E22</f>
        <v>61.46</v>
      </c>
      <c r="AO21" s="3">
        <f>IF(Avoine!G22="",'Intermédiaire_Prod-Résultats'!AN21,Avoine!G22)</f>
        <v>61.46</v>
      </c>
      <c r="AQ21" s="3">
        <f>'Blé_d''automne'!E22</f>
        <v>88.19</v>
      </c>
      <c r="AR21" s="3">
        <f>IF('Blé_d''automne'!G22="",'Intermédiaire_Prod-Résultats'!AQ21,'Blé_d''automne'!G22)</f>
        <v>88.19</v>
      </c>
      <c r="AT21" s="3">
        <f>Blé_printemps!E22</f>
        <v>88.19</v>
      </c>
      <c r="AU21" s="3">
        <f>IF(Blé_printemps!G22="",'Intermédiaire_Prod-Résultats'!AT21,Blé_printemps!G22)</f>
        <v>88.19</v>
      </c>
      <c r="AW21" s="3">
        <f>Seigle!E22</f>
        <v>55.35</v>
      </c>
      <c r="AX21" s="3">
        <f>IF(Seigle!G22="",'Intermédiaire_Prod-Résultats'!AW21,Seigle!G22)</f>
        <v>55.35</v>
      </c>
      <c r="AZ21" s="3">
        <f>Seigle_hybride!E22</f>
        <v>55.35</v>
      </c>
      <c r="BA21" s="3">
        <f>IF(Seigle_hybride!G22="",'Intermédiaire_Prod-Résultats'!AZ21,Seigle_hybride!G22)</f>
        <v>55.35</v>
      </c>
      <c r="BC21" s="3">
        <f>Prairie!E22</f>
        <v>74</v>
      </c>
      <c r="BD21" s="3">
        <f>IF(Prairie!G22="",'Intermédiaire_Prod-Résultats'!BC21,Prairie!G22)</f>
        <v>74</v>
      </c>
      <c r="BE21" s="37"/>
      <c r="BF21" s="34">
        <f>Chanvre!E22</f>
        <v>68.27</v>
      </c>
      <c r="BG21" s="3">
        <f>IF(Chanvre!G22="",'Intermédiaire_Prod-Résultats'!BF21,Chanvre!G22)</f>
        <v>68.27</v>
      </c>
      <c r="BI21" s="3">
        <f>Sarrasin!E22</f>
        <v>62.77</v>
      </c>
      <c r="BJ21" s="3">
        <f>IF(Sarrasin!G22="",'Intermédiaire_Prod-Résultats'!BI21,Sarrasin!G22)</f>
        <v>62.77</v>
      </c>
      <c r="BL21" s="3">
        <f>Orge!E22</f>
        <v>54.75</v>
      </c>
      <c r="BM21" s="3">
        <f>IF(Orge!G22="",'Intermédiaire_Prod-Résultats'!BL21,Orge!G22)</f>
        <v>54.75</v>
      </c>
      <c r="BO21" s="3">
        <f>Avoine!E22</f>
        <v>61.46</v>
      </c>
      <c r="BP21" s="3">
        <f>IF(Avoine!G22="",'Intermédiaire_Prod-Résultats'!BO21,Avoine!G22)</f>
        <v>61.46</v>
      </c>
      <c r="BR21" s="3">
        <f>'Blé_d''automne'!E22</f>
        <v>88.19</v>
      </c>
      <c r="BS21" s="3">
        <f>IF('Blé_d''automne'!G22="",'Intermédiaire_Prod-Résultats'!BR21,'Blé_d''automne'!G22)</f>
        <v>88.19</v>
      </c>
      <c r="BU21" s="3">
        <f>Blé_printemps!E22</f>
        <v>88.19</v>
      </c>
      <c r="BV21" s="3">
        <f>IF(Blé_printemps!G22="",'Intermédiaire_Prod-Résultats'!BU21,Blé_printemps!G22)</f>
        <v>88.19</v>
      </c>
      <c r="BX21" s="3">
        <f>Seigle!E22</f>
        <v>55.35</v>
      </c>
      <c r="BY21" s="3">
        <f>IF(Seigle!G22="",'Intermédiaire_Prod-Résultats'!BX21,Seigle!G22)</f>
        <v>55.35</v>
      </c>
      <c r="CA21" s="3">
        <f>Seigle_hybride!E22</f>
        <v>55.35</v>
      </c>
      <c r="CB21" s="3">
        <f>IF(Seigle_hybride!G22="",'Intermédiaire_Prod-Résultats'!CA21,Seigle_hybride!G22)</f>
        <v>55.35</v>
      </c>
      <c r="CD21" s="3">
        <f>Prairie!E22</f>
        <v>74</v>
      </c>
      <c r="CE21" s="3">
        <f>IF(Prairie!G22="",'Intermédiaire_Prod-Résultats'!CD21,Prairie!G22)</f>
        <v>74</v>
      </c>
    </row>
    <row r="22" spans="1:83" x14ac:dyDescent="0.25">
      <c r="A22" t="s">
        <v>142</v>
      </c>
      <c r="D22" s="3">
        <f>Chanvre!E23</f>
        <v>113.75</v>
      </c>
      <c r="E22" s="3">
        <f>IF(Chanvre!G23="",'Intermédiaire_Prod-Résultats'!D22,Chanvre!G23)</f>
        <v>113.75</v>
      </c>
      <c r="G22" s="3">
        <f>Sarrasin!E23</f>
        <v>129.24</v>
      </c>
      <c r="H22" s="3">
        <f>IF(Sarrasin!G23="",'Intermédiaire_Prod-Résultats'!G22,Sarrasin!G23)</f>
        <v>129.24</v>
      </c>
      <c r="J22" s="3">
        <f>Orge!E23</f>
        <v>100.27</v>
      </c>
      <c r="K22" s="3">
        <f>IF(Orge!G23="",'Intermédiaire_Prod-Résultats'!J22,Orge!G23)</f>
        <v>100.27</v>
      </c>
      <c r="M22" s="3">
        <f>Avoine!E23</f>
        <v>85.41</v>
      </c>
      <c r="N22" s="3">
        <f>IF(Avoine!G23="",'Intermédiaire_Prod-Résultats'!M22,Avoine!G23)</f>
        <v>85.41</v>
      </c>
      <c r="P22" s="3">
        <f>'Blé_d''automne'!E23</f>
        <v>95.61</v>
      </c>
      <c r="Q22" s="3">
        <f>IF('Blé_d''automne'!G23="",'Intermédiaire_Prod-Résultats'!P22,'Blé_d''automne'!G23)</f>
        <v>95.61</v>
      </c>
      <c r="S22" s="3">
        <f>Blé_printemps!E23</f>
        <v>95.61</v>
      </c>
      <c r="T22" s="3">
        <f>IF(Blé_printemps!G23="",'Intermédiaire_Prod-Résultats'!S22,Blé_printemps!G23)</f>
        <v>95.61</v>
      </c>
      <c r="V22" s="3">
        <f>Seigle!E23</f>
        <v>93.52</v>
      </c>
      <c r="W22" s="3">
        <f>IF(Seigle!G23="",'Intermédiaire_Prod-Résultats'!V22,Seigle!G23)</f>
        <v>93.52</v>
      </c>
      <c r="Y22" s="3">
        <f>Seigle_hybride!E23</f>
        <v>93.52</v>
      </c>
      <c r="Z22" s="3">
        <f>IF(Seigle_hybride!G23="",'Intermédiaire_Prod-Résultats'!Y22,Seigle_hybride!G23)</f>
        <v>93.52</v>
      </c>
      <c r="AB22" s="3">
        <f>Prairie!E23</f>
        <v>74</v>
      </c>
      <c r="AC22" s="3">
        <f>IF(Prairie!G23="",'Intermédiaire_Prod-Résultats'!AB22,Prairie!G23)</f>
        <v>74</v>
      </c>
      <c r="AD22" s="37"/>
      <c r="AE22" s="34">
        <f>Chanvre!E23</f>
        <v>113.75</v>
      </c>
      <c r="AF22" s="3">
        <f>IF(Chanvre!G23="",'Intermédiaire_Prod-Résultats'!AE22,Chanvre!G23)</f>
        <v>113.75</v>
      </c>
      <c r="AH22" s="3">
        <f>Sarrasin!E23</f>
        <v>129.24</v>
      </c>
      <c r="AI22" s="3">
        <f>IF(Sarrasin!G23="",'Intermédiaire_Prod-Résultats'!AH22,Sarrasin!G23)</f>
        <v>129.24</v>
      </c>
      <c r="AK22" s="3">
        <f>Orge!E23</f>
        <v>100.27</v>
      </c>
      <c r="AL22" s="3">
        <f>IF(Orge!G23="",'Intermédiaire_Prod-Résultats'!AK22,Orge!G23)</f>
        <v>100.27</v>
      </c>
      <c r="AN22" s="3">
        <f>Avoine!E23</f>
        <v>85.41</v>
      </c>
      <c r="AO22" s="3">
        <f>IF(Avoine!G23="",'Intermédiaire_Prod-Résultats'!AN22,Avoine!G23)</f>
        <v>85.41</v>
      </c>
      <c r="AQ22" s="3">
        <f>'Blé_d''automne'!E23</f>
        <v>95.61</v>
      </c>
      <c r="AR22" s="3">
        <f>IF('Blé_d''automne'!G23="",'Intermédiaire_Prod-Résultats'!AQ22,'Blé_d''automne'!G23)</f>
        <v>95.61</v>
      </c>
      <c r="AT22" s="3">
        <f>Blé_printemps!E23</f>
        <v>95.61</v>
      </c>
      <c r="AU22" s="3">
        <f>IF(Blé_printemps!G23="",'Intermédiaire_Prod-Résultats'!AT22,Blé_printemps!G23)</f>
        <v>95.61</v>
      </c>
      <c r="AW22" s="3">
        <f>Seigle!E23</f>
        <v>93.52</v>
      </c>
      <c r="AX22" s="3">
        <f>IF(Seigle!G23="",'Intermédiaire_Prod-Résultats'!AW22,Seigle!G23)</f>
        <v>93.52</v>
      </c>
      <c r="AZ22" s="3">
        <f>Seigle_hybride!E23</f>
        <v>93.52</v>
      </c>
      <c r="BA22" s="3">
        <f>IF(Seigle_hybride!G23="",'Intermédiaire_Prod-Résultats'!AZ22,Seigle_hybride!G23)</f>
        <v>93.52</v>
      </c>
      <c r="BC22" s="3">
        <f>Prairie!E23</f>
        <v>74</v>
      </c>
      <c r="BD22" s="3">
        <f>IF(Prairie!G23="",'Intermédiaire_Prod-Résultats'!BC22,Prairie!G23)</f>
        <v>74</v>
      </c>
      <c r="BE22" s="37"/>
      <c r="BF22" s="34">
        <f>Chanvre!E23</f>
        <v>113.75</v>
      </c>
      <c r="BG22" s="3">
        <f>IF(Chanvre!G23="",'Intermédiaire_Prod-Résultats'!BF22,Chanvre!G23)</f>
        <v>113.75</v>
      </c>
      <c r="BI22" s="3">
        <f>Sarrasin!E23</f>
        <v>129.24</v>
      </c>
      <c r="BJ22" s="3">
        <f>IF(Sarrasin!G23="",'Intermédiaire_Prod-Résultats'!BI22,Sarrasin!G23)</f>
        <v>129.24</v>
      </c>
      <c r="BL22" s="3">
        <f>Orge!E23</f>
        <v>100.27</v>
      </c>
      <c r="BM22" s="3">
        <f>IF(Orge!G23="",'Intermédiaire_Prod-Résultats'!BL22,Orge!G23)</f>
        <v>100.27</v>
      </c>
      <c r="BO22" s="3">
        <f>Avoine!E23</f>
        <v>85.41</v>
      </c>
      <c r="BP22" s="3">
        <f>IF(Avoine!G23="",'Intermédiaire_Prod-Résultats'!BO22,Avoine!G23)</f>
        <v>85.41</v>
      </c>
      <c r="BR22" s="3">
        <f>'Blé_d''automne'!E23</f>
        <v>95.61</v>
      </c>
      <c r="BS22" s="3">
        <f>IF('Blé_d''automne'!G23="",'Intermédiaire_Prod-Résultats'!BR22,'Blé_d''automne'!G23)</f>
        <v>95.61</v>
      </c>
      <c r="BU22" s="3">
        <f>Blé_printemps!E23</f>
        <v>95.61</v>
      </c>
      <c r="BV22" s="3">
        <f>IF(Blé_printemps!G23="",'Intermédiaire_Prod-Résultats'!BU22,Blé_printemps!G23)</f>
        <v>95.61</v>
      </c>
      <c r="BX22" s="3">
        <f>Seigle!E23</f>
        <v>93.52</v>
      </c>
      <c r="BY22" s="3">
        <f>IF(Seigle!G23="",'Intermédiaire_Prod-Résultats'!BX22,Seigle!G23)</f>
        <v>93.52</v>
      </c>
      <c r="CA22" s="3">
        <f>Seigle_hybride!E23</f>
        <v>93.52</v>
      </c>
      <c r="CB22" s="3">
        <f>IF(Seigle_hybride!G23="",'Intermédiaire_Prod-Résultats'!CA22,Seigle_hybride!G23)</f>
        <v>93.52</v>
      </c>
      <c r="CD22" s="3">
        <f>Prairie!E23</f>
        <v>74</v>
      </c>
      <c r="CE22" s="3">
        <f>IF(Prairie!G23="",'Intermédiaire_Prod-Résultats'!CD22,Prairie!G23)</f>
        <v>74</v>
      </c>
    </row>
    <row r="23" spans="1:83" x14ac:dyDescent="0.25">
      <c r="A23" t="s">
        <v>13</v>
      </c>
      <c r="D23" s="3">
        <f>Chanvre!E24</f>
        <v>142.02000000000001</v>
      </c>
      <c r="E23" s="3">
        <f>IF(Chanvre!G24="",'Intermédiaire_Prod-Résultats'!D23,Chanvre!G24)</f>
        <v>142.02000000000001</v>
      </c>
      <c r="G23" s="3">
        <f>Sarrasin!E24</f>
        <v>77.56</v>
      </c>
      <c r="H23" s="3">
        <f>IF(Sarrasin!G24="",'Intermédiaire_Prod-Résultats'!G23,Sarrasin!G24)</f>
        <v>77.56</v>
      </c>
      <c r="J23" s="3">
        <f>Orge!E24</f>
        <v>117.74</v>
      </c>
      <c r="K23" s="3">
        <f>IF(Orge!G24="",'Intermédiaire_Prod-Résultats'!J23,Orge!G24)</f>
        <v>117.74</v>
      </c>
      <c r="M23" s="3">
        <f>Avoine!E24</f>
        <v>194.85</v>
      </c>
      <c r="N23" s="3">
        <f>IF(Avoine!G24="",'Intermédiaire_Prod-Résultats'!M23,Avoine!G24)</f>
        <v>194.85</v>
      </c>
      <c r="P23" s="3">
        <f>'Blé_d''automne'!E24</f>
        <v>141.16</v>
      </c>
      <c r="Q23" s="3">
        <f>IF('Blé_d''automne'!G24="",'Intermédiaire_Prod-Résultats'!P23,'Blé_d''automne'!G24)</f>
        <v>141.16</v>
      </c>
      <c r="S23" s="3">
        <f>Blé_printemps!E24</f>
        <v>141.16</v>
      </c>
      <c r="T23" s="3">
        <f>IF(Blé_printemps!G24="",'Intermédiaire_Prod-Résultats'!S23,Blé_printemps!G24)</f>
        <v>141.16</v>
      </c>
      <c r="V23" s="3">
        <f>Seigle!E24</f>
        <v>77.239999999999995</v>
      </c>
      <c r="W23" s="3">
        <f>IF(Seigle!G24="",'Intermédiaire_Prod-Résultats'!V23,Seigle!G24)</f>
        <v>77.239999999999995</v>
      </c>
      <c r="Y23" s="3">
        <f>Seigle_hybride!E24</f>
        <v>77.239999999999995</v>
      </c>
      <c r="Z23" s="3">
        <f>IF(Seigle_hybride!G24="",'Intermédiaire_Prod-Résultats'!Y23,Seigle_hybride!G24)</f>
        <v>77.239999999999995</v>
      </c>
      <c r="AB23" s="3">
        <f>Prairie!E24+Saisies!B70/2</f>
        <v>52</v>
      </c>
      <c r="AC23" s="3">
        <f>IF(Prairie!G24="",'Intermédiaire_Prod-Résultats'!AB23,Prairie!G24)+Saisies!C70/2</f>
        <v>52</v>
      </c>
      <c r="AD23" s="37"/>
      <c r="AE23" s="34">
        <f>Chanvre!E24</f>
        <v>142.02000000000001</v>
      </c>
      <c r="AF23" s="3">
        <f>IF(Chanvre!G24="",'Intermédiaire_Prod-Résultats'!AE23,Chanvre!G24)</f>
        <v>142.02000000000001</v>
      </c>
      <c r="AH23" s="3">
        <f>Sarrasin!E24</f>
        <v>77.56</v>
      </c>
      <c r="AI23" s="3">
        <f>IF(Sarrasin!G24="",'Intermédiaire_Prod-Résultats'!AH23,Sarrasin!G24)</f>
        <v>77.56</v>
      </c>
      <c r="AK23" s="3">
        <f>Orge!E24</f>
        <v>117.74</v>
      </c>
      <c r="AL23" s="3">
        <f>IF(Orge!G24="",'Intermédiaire_Prod-Résultats'!AK23,Orge!G24)</f>
        <v>117.74</v>
      </c>
      <c r="AN23" s="3">
        <f>Avoine!E24</f>
        <v>194.85</v>
      </c>
      <c r="AO23" s="3">
        <f>IF(Avoine!G24="",'Intermédiaire_Prod-Résultats'!AN23,Avoine!G24)</f>
        <v>194.85</v>
      </c>
      <c r="AQ23" s="3">
        <f>'Blé_d''automne'!E24</f>
        <v>141.16</v>
      </c>
      <c r="AR23" s="3">
        <f>IF('Blé_d''automne'!G24="",'Intermédiaire_Prod-Résultats'!AQ23,'Blé_d''automne'!G24)</f>
        <v>141.16</v>
      </c>
      <c r="AT23" s="3">
        <f>Blé_printemps!E24</f>
        <v>141.16</v>
      </c>
      <c r="AU23" s="3">
        <f>IF(Blé_printemps!G24="",'Intermédiaire_Prod-Résultats'!AT23,Blé_printemps!G24)</f>
        <v>141.16</v>
      </c>
      <c r="AW23" s="3">
        <f>Seigle!E24</f>
        <v>77.239999999999995</v>
      </c>
      <c r="AX23" s="3">
        <f>IF(Seigle!G24="",'Intermédiaire_Prod-Résultats'!AW23,Seigle!G24)</f>
        <v>77.239999999999995</v>
      </c>
      <c r="AZ23" s="3">
        <f>Seigle_hybride!E24</f>
        <v>77.239999999999995</v>
      </c>
      <c r="BA23" s="3">
        <f>IF(Seigle_hybride!G24="",'Intermédiaire_Prod-Résultats'!AZ23,Seigle_hybride!G24)</f>
        <v>77.239999999999995</v>
      </c>
      <c r="BC23" s="3">
        <f>Prairie!E24+Saisies!B70/2</f>
        <v>52</v>
      </c>
      <c r="BD23" s="3">
        <f>IF(Prairie!G24="",'Intermédiaire_Prod-Résultats'!BC23,Prairie!G24)+Saisies!C70/2</f>
        <v>52</v>
      </c>
      <c r="BE23" s="37"/>
      <c r="BF23" s="34">
        <f>Chanvre!E24</f>
        <v>142.02000000000001</v>
      </c>
      <c r="BG23" s="3">
        <f>IF(Chanvre!G24="",'Intermédiaire_Prod-Résultats'!BF23,Chanvre!G24)</f>
        <v>142.02000000000001</v>
      </c>
      <c r="BI23" s="3">
        <f>Sarrasin!E24</f>
        <v>77.56</v>
      </c>
      <c r="BJ23" s="3">
        <f>IF(Sarrasin!G24="",'Intermédiaire_Prod-Résultats'!BI23,Sarrasin!G24)</f>
        <v>77.56</v>
      </c>
      <c r="BL23" s="3">
        <f>Orge!E24</f>
        <v>117.74</v>
      </c>
      <c r="BM23" s="3">
        <f>IF(Orge!G24="",'Intermédiaire_Prod-Résultats'!BL23,Orge!G24)</f>
        <v>117.74</v>
      </c>
      <c r="BO23" s="3">
        <f>Avoine!E24</f>
        <v>194.85</v>
      </c>
      <c r="BP23" s="3">
        <f>IF(Avoine!G24="",'Intermédiaire_Prod-Résultats'!BO23,Avoine!G24)</f>
        <v>194.85</v>
      </c>
      <c r="BR23" s="3">
        <f>'Blé_d''automne'!E24</f>
        <v>141.16</v>
      </c>
      <c r="BS23" s="3">
        <f>IF('Blé_d''automne'!G24="",'Intermédiaire_Prod-Résultats'!BR23,'Blé_d''automne'!G24)</f>
        <v>141.16</v>
      </c>
      <c r="BU23" s="3">
        <f>Blé_printemps!E24</f>
        <v>141.16</v>
      </c>
      <c r="BV23" s="3">
        <f>IF(Blé_printemps!G24="",'Intermédiaire_Prod-Résultats'!BU23,Blé_printemps!G24)</f>
        <v>141.16</v>
      </c>
      <c r="BX23" s="3">
        <f>Seigle!E24</f>
        <v>77.239999999999995</v>
      </c>
      <c r="BY23" s="3">
        <f>IF(Seigle!G24="",'Intermédiaire_Prod-Résultats'!BX23,Seigle!G24)</f>
        <v>77.239999999999995</v>
      </c>
      <c r="CA23" s="3">
        <f>Seigle_hybride!E24</f>
        <v>77.239999999999995</v>
      </c>
      <c r="CB23" s="3">
        <f>IF(Seigle_hybride!G24="",'Intermédiaire_Prod-Résultats'!CA23,Seigle_hybride!G24)</f>
        <v>77.239999999999995</v>
      </c>
      <c r="CD23" s="3">
        <f>Prairie!E24+Saisies!B70/2</f>
        <v>52</v>
      </c>
      <c r="CE23" s="3">
        <f>IF(Prairie!G24="",'Intermédiaire_Prod-Résultats'!CD23,Prairie!G24)+Saisies!C70/2</f>
        <v>52</v>
      </c>
    </row>
    <row r="24" spans="1:83" x14ac:dyDescent="0.25">
      <c r="B24" s="1"/>
      <c r="D24" s="6">
        <f>SUM(D15:D23)</f>
        <v>1227.7</v>
      </c>
      <c r="E24" s="6">
        <f>SUM(E15:E23)</f>
        <v>1227.7</v>
      </c>
      <c r="G24" s="6">
        <f>SUM(G15:G23)</f>
        <v>993.71</v>
      </c>
      <c r="H24" s="6">
        <f>SUM(H15:H23)</f>
        <v>993.71</v>
      </c>
      <c r="J24" s="6">
        <f>SUM(J15:J23)</f>
        <v>1247.82</v>
      </c>
      <c r="K24" s="6">
        <f>SUM(K15:K23)</f>
        <v>1247.82</v>
      </c>
      <c r="M24" s="6">
        <f>SUM(M15:M23)</f>
        <v>1153.53</v>
      </c>
      <c r="N24" s="6">
        <f>SUM(N15:N23)</f>
        <v>1153.53</v>
      </c>
      <c r="P24" s="6">
        <f>SUM(P15:P23)</f>
        <v>1106.2791</v>
      </c>
      <c r="Q24" s="6">
        <f>SUM(Q15:Q23)</f>
        <v>1106.2791</v>
      </c>
      <c r="S24" s="6">
        <f>SUM(S15:S23)</f>
        <v>1122.51</v>
      </c>
      <c r="T24" s="6">
        <f>SUM(T15:T23)</f>
        <v>1122.51</v>
      </c>
      <c r="V24" s="6">
        <f>SUM(V15:V23)</f>
        <v>926.90000000000009</v>
      </c>
      <c r="W24" s="6">
        <f>SUM(W15:W23)</f>
        <v>926.90000000000009</v>
      </c>
      <c r="Y24" s="6">
        <f>SUM(Y15:Y23)</f>
        <v>1060.21</v>
      </c>
      <c r="Z24" s="6">
        <f>SUM(Z15:Z23)</f>
        <v>1060.21</v>
      </c>
      <c r="AB24" s="6">
        <f>SUM(AB15:AB23)</f>
        <v>788.4</v>
      </c>
      <c r="AC24" s="6">
        <f>SUM(AC15:AC23)</f>
        <v>788.4</v>
      </c>
      <c r="AD24" s="37"/>
      <c r="AE24" s="6">
        <f>SUM(AE15:AE23)</f>
        <v>1227.7</v>
      </c>
      <c r="AF24" s="6">
        <f>SUM(AF15:AF23)</f>
        <v>1227.7</v>
      </c>
      <c r="AH24" s="6">
        <f>SUM(AH15:AH23)</f>
        <v>993.71</v>
      </c>
      <c r="AI24" s="6">
        <f>SUM(AI15:AI23)</f>
        <v>993.71</v>
      </c>
      <c r="AK24" s="6">
        <f>SUM(AK15:AK23)</f>
        <v>1247.82</v>
      </c>
      <c r="AL24" s="6">
        <f>SUM(AL15:AL23)</f>
        <v>1247.82</v>
      </c>
      <c r="AN24" s="6">
        <f>SUM(AN15:AN23)</f>
        <v>1153.53</v>
      </c>
      <c r="AO24" s="6">
        <f>SUM(AO15:AO23)</f>
        <v>1153.53</v>
      </c>
      <c r="AQ24" s="6">
        <f>SUM(AQ15:AQ23)</f>
        <v>1106.2791</v>
      </c>
      <c r="AR24" s="6">
        <f>SUM(AR15:AR23)</f>
        <v>1106.2791</v>
      </c>
      <c r="AT24" s="6">
        <f>SUM(AT15:AT23)</f>
        <v>1122.51</v>
      </c>
      <c r="AU24" s="6">
        <f>SUM(AU15:AU23)</f>
        <v>1122.51</v>
      </c>
      <c r="AW24" s="6">
        <f>SUM(AW15:AW23)</f>
        <v>926.90000000000009</v>
      </c>
      <c r="AX24" s="6">
        <f>SUM(AX15:AX23)</f>
        <v>926.90000000000009</v>
      </c>
      <c r="AZ24" s="6">
        <f>SUM(AZ15:AZ23)</f>
        <v>1060.21</v>
      </c>
      <c r="BA24" s="6">
        <f>SUM(BA15:BA23)</f>
        <v>1060.21</v>
      </c>
      <c r="BC24" s="6">
        <f>SUM(BC15:BC23)</f>
        <v>770.9</v>
      </c>
      <c r="BD24" s="6">
        <f>SUM(BD15:BD23)</f>
        <v>770.9</v>
      </c>
      <c r="BE24" s="37"/>
      <c r="BF24" s="6">
        <f>SUM(BF15:BF23)</f>
        <v>1227.7</v>
      </c>
      <c r="BG24" s="6">
        <f>SUM(BG15:BG23)</f>
        <v>1227.7</v>
      </c>
      <c r="BI24" s="6">
        <f>SUM(BI15:BI23)</f>
        <v>993.71</v>
      </c>
      <c r="BJ24" s="6">
        <f>SUM(BJ15:BJ23)</f>
        <v>993.71</v>
      </c>
      <c r="BL24" s="6">
        <f>SUM(BL15:BL23)</f>
        <v>1247.82</v>
      </c>
      <c r="BM24" s="6">
        <f>SUM(BM15:BM23)</f>
        <v>1247.82</v>
      </c>
      <c r="BO24" s="6">
        <f>SUM(BO15:BO23)</f>
        <v>1153.53</v>
      </c>
      <c r="BP24" s="6">
        <f>SUM(BP15:BP23)</f>
        <v>1153.53</v>
      </c>
      <c r="BR24" s="6">
        <f>SUM(BR15:BR23)</f>
        <v>1106.2791</v>
      </c>
      <c r="BS24" s="6">
        <f>SUM(BS15:BS23)</f>
        <v>1106.2791</v>
      </c>
      <c r="BU24" s="6">
        <f>SUM(BU15:BU23)</f>
        <v>1122.51</v>
      </c>
      <c r="BV24" s="6">
        <f>SUM(BV15:BV23)</f>
        <v>1122.51</v>
      </c>
      <c r="BX24" s="6">
        <f>SUM(BX15:BX23)</f>
        <v>926.90000000000009</v>
      </c>
      <c r="BY24" s="6">
        <f>SUM(BY15:BY23)</f>
        <v>926.90000000000009</v>
      </c>
      <c r="CA24" s="6">
        <f>SUM(CA15:CA23)</f>
        <v>1060.21</v>
      </c>
      <c r="CB24" s="6">
        <f>SUM(CB15:CB23)</f>
        <v>1060.21</v>
      </c>
      <c r="CD24" s="6">
        <f>SUM(CD15:CD23)</f>
        <v>753.4</v>
      </c>
      <c r="CE24" s="6">
        <f>SUM(CE15:CE23)</f>
        <v>753.4</v>
      </c>
    </row>
    <row r="25" spans="1:83" ht="36.950000000000003" customHeight="1" x14ac:dyDescent="0.25">
      <c r="A25" s="83" t="s">
        <v>35</v>
      </c>
      <c r="B25" s="83"/>
      <c r="C25" s="83"/>
      <c r="D25" s="6">
        <f>D10-D24</f>
        <v>1614.39382</v>
      </c>
      <c r="E25" s="6">
        <f>E10-E24</f>
        <v>1614.39382</v>
      </c>
      <c r="G25" s="6">
        <f>G10-G24</f>
        <v>873.88869999999997</v>
      </c>
      <c r="H25" s="6">
        <f>H10-H24</f>
        <v>873.88869999999997</v>
      </c>
      <c r="J25" s="6">
        <f>J10-J24</f>
        <v>418.31010000000015</v>
      </c>
      <c r="K25" s="6">
        <f>K10-K24</f>
        <v>418.31010000000015</v>
      </c>
      <c r="M25" s="6">
        <f>M10-M24</f>
        <v>-56.167599999999766</v>
      </c>
      <c r="N25" s="6">
        <f>N10-N24</f>
        <v>-56.167599999999766</v>
      </c>
      <c r="P25" s="6">
        <f>P10-P24</f>
        <v>991.79750899999976</v>
      </c>
      <c r="Q25" s="6">
        <f>Q10-Q24</f>
        <v>991.79750899999976</v>
      </c>
      <c r="S25" s="6">
        <f>S10-S24</f>
        <v>576.70569999999998</v>
      </c>
      <c r="T25" s="6">
        <f>T10-T24</f>
        <v>576.70569999999998</v>
      </c>
      <c r="V25" s="6">
        <f>V10-V24</f>
        <v>329.62939999999981</v>
      </c>
      <c r="W25" s="6">
        <f>W10-W24</f>
        <v>329.62939999999981</v>
      </c>
      <c r="Y25" s="6">
        <f>Y10-Y24</f>
        <v>1275.0663</v>
      </c>
      <c r="Z25" s="6">
        <f>Z10-Z24</f>
        <v>1275.0663</v>
      </c>
      <c r="AB25" s="6">
        <f>AB10-AB24</f>
        <v>8.8187000000000353</v>
      </c>
      <c r="AC25" s="6">
        <f>AC10-AC24</f>
        <v>8.8187000000000353</v>
      </c>
      <c r="AD25" s="37"/>
      <c r="AE25" s="6">
        <f>AE10-AE24</f>
        <v>1614.39382</v>
      </c>
      <c r="AF25" s="6">
        <f>AF10-AF24</f>
        <v>1614.39382</v>
      </c>
      <c r="AH25" s="6">
        <f>AH10-AH24</f>
        <v>873.88869999999997</v>
      </c>
      <c r="AI25" s="6">
        <f>AI10-AI24</f>
        <v>873.88869999999997</v>
      </c>
      <c r="AK25" s="6">
        <f>AK10-AK24</f>
        <v>418.31010000000015</v>
      </c>
      <c r="AL25" s="6">
        <f>AL10-AL24</f>
        <v>418.31010000000015</v>
      </c>
      <c r="AN25" s="6">
        <f>AN10-AN24</f>
        <v>-56.167599999999766</v>
      </c>
      <c r="AO25" s="6">
        <f>AO10-AO24</f>
        <v>-56.167599999999766</v>
      </c>
      <c r="AQ25" s="6">
        <f>AQ10-AQ24</f>
        <v>991.79750899999976</v>
      </c>
      <c r="AR25" s="6">
        <f>AR10-AR24</f>
        <v>991.79750899999976</v>
      </c>
      <c r="AT25" s="6">
        <f>AT10-AT24</f>
        <v>576.70569999999998</v>
      </c>
      <c r="AU25" s="6">
        <f>AU10-AU24</f>
        <v>576.70569999999998</v>
      </c>
      <c r="AW25" s="6">
        <f>AW10-AW24</f>
        <v>329.62939999999981</v>
      </c>
      <c r="AX25" s="6">
        <f>AX10-AX24</f>
        <v>329.62939999999981</v>
      </c>
      <c r="AZ25" s="6">
        <f>AZ10-AZ24</f>
        <v>1275.0663</v>
      </c>
      <c r="BA25" s="6">
        <f>BA10-BA24</f>
        <v>1275.0663</v>
      </c>
      <c r="BC25" s="6">
        <f>BC10-BC24</f>
        <v>26.318700000000035</v>
      </c>
      <c r="BD25" s="6">
        <f>BD10-BD24</f>
        <v>26.318700000000035</v>
      </c>
      <c r="BE25" s="37"/>
      <c r="BF25" s="6">
        <f>BF10-BF24</f>
        <v>1614.39382</v>
      </c>
      <c r="BG25" s="6">
        <f>BG10-BG24</f>
        <v>1614.39382</v>
      </c>
      <c r="BI25" s="6">
        <f>BI10-BI24</f>
        <v>873.88869999999997</v>
      </c>
      <c r="BJ25" s="6">
        <f>BJ10-BJ24</f>
        <v>873.88869999999997</v>
      </c>
      <c r="BL25" s="6">
        <f>BL10-BL24</f>
        <v>418.31010000000015</v>
      </c>
      <c r="BM25" s="6">
        <f>BM10-BM24</f>
        <v>418.31010000000015</v>
      </c>
      <c r="BO25" s="6">
        <f>BO10-BO24</f>
        <v>-56.167599999999766</v>
      </c>
      <c r="BP25" s="6">
        <f>BP10-BP24</f>
        <v>-56.167599999999766</v>
      </c>
      <c r="BR25" s="6">
        <f>BR10-BR24</f>
        <v>991.79750899999976</v>
      </c>
      <c r="BS25" s="6">
        <f>BS10-BS24</f>
        <v>991.79750899999976</v>
      </c>
      <c r="BU25" s="6">
        <f>BU10-BU24</f>
        <v>576.70569999999998</v>
      </c>
      <c r="BV25" s="6">
        <f>BV10-BV24</f>
        <v>576.70569999999998</v>
      </c>
      <c r="BX25" s="6">
        <f>BX10-BX24</f>
        <v>329.62939999999981</v>
      </c>
      <c r="BY25" s="6">
        <f>BY10-BY24</f>
        <v>329.62939999999981</v>
      </c>
      <c r="CA25" s="6">
        <f>CA10-CA24</f>
        <v>1275.0663</v>
      </c>
      <c r="CB25" s="6">
        <f>CB10-CB24</f>
        <v>1275.0663</v>
      </c>
      <c r="CD25" s="6">
        <f>CD10-CD24</f>
        <v>43.818700000000035</v>
      </c>
      <c r="CE25" s="6">
        <f>CE10-CE24</f>
        <v>43.818700000000035</v>
      </c>
    </row>
    <row r="26" spans="1:83" x14ac:dyDescent="0.25">
      <c r="D26" s="3"/>
      <c r="E26" s="3"/>
      <c r="G26" s="3"/>
      <c r="H26" s="3"/>
      <c r="J26" s="3"/>
      <c r="K26" s="3"/>
      <c r="M26" s="3"/>
      <c r="N26" s="3"/>
      <c r="P26" s="3"/>
      <c r="Q26" s="3"/>
      <c r="S26" s="3"/>
      <c r="T26" s="3"/>
      <c r="V26" s="3"/>
      <c r="W26" s="3"/>
      <c r="Y26" s="3"/>
      <c r="Z26" s="3"/>
      <c r="AB26" s="3"/>
      <c r="AC26" s="3"/>
      <c r="AD26" s="37"/>
      <c r="AE26" s="34"/>
      <c r="AF26" s="3"/>
      <c r="AH26" s="3"/>
      <c r="AI26" s="3"/>
      <c r="AK26" s="3"/>
      <c r="AL26" s="3"/>
      <c r="AN26" s="3"/>
      <c r="AO26" s="3"/>
      <c r="AQ26" s="3"/>
      <c r="AR26" s="3"/>
      <c r="AT26" s="3"/>
      <c r="AU26" s="3"/>
      <c r="AW26" s="3"/>
      <c r="AX26" s="3"/>
      <c r="AZ26" s="3"/>
      <c r="BA26" s="3"/>
      <c r="BC26" s="3"/>
      <c r="BD26" s="3"/>
      <c r="BE26" s="37"/>
      <c r="BF26" s="34"/>
      <c r="BG26" s="3"/>
      <c r="BI26" s="3"/>
      <c r="BJ26" s="3"/>
      <c r="BL26" s="3"/>
      <c r="BM26" s="3"/>
      <c r="BO26" s="3"/>
      <c r="BP26" s="3"/>
      <c r="BR26" s="3"/>
      <c r="BS26" s="3"/>
      <c r="BU26" s="3"/>
      <c r="BV26" s="3"/>
      <c r="BX26" s="3"/>
      <c r="BY26" s="3"/>
      <c r="CA26" s="3"/>
      <c r="CB26" s="3"/>
      <c r="CD26" s="3"/>
      <c r="CE26" s="3"/>
    </row>
    <row r="27" spans="1:83" x14ac:dyDescent="0.25">
      <c r="AC27" s="44"/>
      <c r="AD27" s="37"/>
      <c r="AE27" s="33"/>
      <c r="BD27" s="44"/>
      <c r="BE27" s="37"/>
      <c r="BF27" s="33"/>
    </row>
    <row r="28" spans="1:83" x14ac:dyDescent="0.25">
      <c r="A28" s="8" t="s">
        <v>143</v>
      </c>
      <c r="AC28" s="44"/>
      <c r="AD28" s="37"/>
      <c r="AE28" s="33"/>
      <c r="BD28" s="44"/>
      <c r="BE28" s="37"/>
      <c r="BF28" s="33"/>
    </row>
    <row r="29" spans="1:83" x14ac:dyDescent="0.25">
      <c r="A29" t="s">
        <v>16</v>
      </c>
      <c r="B29" s="1"/>
      <c r="D29" s="3">
        <f>Chanvre!E30</f>
        <v>398.54</v>
      </c>
      <c r="E29" s="3">
        <f>IF(Chanvre!G30="",'Intermédiaire_Prod-Résultats'!D29,Chanvre!G30)</f>
        <v>398.54</v>
      </c>
      <c r="G29" s="3">
        <f>Sarrasin!E30</f>
        <v>284.2</v>
      </c>
      <c r="H29" s="3">
        <f>IF(Sarrasin!G30="",'Intermédiaire_Prod-Résultats'!G29,Sarrasin!G30)</f>
        <v>284.2</v>
      </c>
      <c r="J29" s="3">
        <f>Orge!E30</f>
        <v>229.13</v>
      </c>
      <c r="K29" s="3">
        <f>IF(Orge!G30="",'Intermédiaire_Prod-Résultats'!J29,Orge!G30)</f>
        <v>229.13</v>
      </c>
      <c r="M29" s="3">
        <f>Avoine!E30</f>
        <v>170.27</v>
      </c>
      <c r="N29" s="3">
        <f>IF(Avoine!G30="",'Intermédiaire_Prod-Résultats'!M29,Avoine!G30)</f>
        <v>170.27</v>
      </c>
      <c r="P29" s="3">
        <f>'Blé_d''automne'!E30</f>
        <v>256.24</v>
      </c>
      <c r="Q29" s="3">
        <f>IF('Blé_d''automne'!G30="",'Intermédiaire_Prod-Résultats'!P29,'Blé_d''automne'!G30)</f>
        <v>256.24</v>
      </c>
      <c r="S29" s="3">
        <f>Blé_printemps!E30</f>
        <v>256.24</v>
      </c>
      <c r="T29" s="3">
        <f>IF(Blé_printemps!G30="",'Intermédiaire_Prod-Résultats'!S29,Blé_printemps!G30)</f>
        <v>256.24</v>
      </c>
      <c r="V29" s="3">
        <f>Seigle!E30</f>
        <v>254.5</v>
      </c>
      <c r="W29" s="3">
        <f>IF(Seigle!G30="",'Intermédiaire_Prod-Résultats'!V29,Seigle!G30)</f>
        <v>254.5</v>
      </c>
      <c r="Y29" s="3">
        <f>Seigle_hybride!E30</f>
        <v>254.5</v>
      </c>
      <c r="Z29" s="3">
        <f>IF(Seigle_hybride!G30="",'Intermédiaire_Prod-Résultats'!Y29,Seigle_hybride!G30)</f>
        <v>254.5</v>
      </c>
      <c r="AB29" s="3">
        <f>Prairie!E30</f>
        <v>226</v>
      </c>
      <c r="AC29" s="3">
        <f>IF(Prairie!G30="",'Intermédiaire_Prod-Résultats'!AB29,Prairie!G30)</f>
        <v>226</v>
      </c>
      <c r="AD29" s="37"/>
      <c r="AE29" s="34">
        <f>Chanvre!E30</f>
        <v>398.54</v>
      </c>
      <c r="AF29" s="3">
        <f>IF(Chanvre!G30="",'Intermédiaire_Prod-Résultats'!AE29,Chanvre!G30)</f>
        <v>398.54</v>
      </c>
      <c r="AH29" s="3">
        <f>Sarrasin!E30</f>
        <v>284.2</v>
      </c>
      <c r="AI29" s="3">
        <f>IF(Sarrasin!G30="",'Intermédiaire_Prod-Résultats'!AH29,Sarrasin!G30)</f>
        <v>284.2</v>
      </c>
      <c r="AK29" s="3">
        <f>Orge!E30</f>
        <v>229.13</v>
      </c>
      <c r="AL29" s="3">
        <f>IF(Orge!G30="",'Intermédiaire_Prod-Résultats'!AK29,Orge!G30)</f>
        <v>229.13</v>
      </c>
      <c r="AN29" s="3">
        <f>Avoine!E30</f>
        <v>170.27</v>
      </c>
      <c r="AO29" s="3">
        <f>IF(Avoine!G30="",'Intermédiaire_Prod-Résultats'!AN29,Avoine!G30)</f>
        <v>170.27</v>
      </c>
      <c r="AQ29" s="3">
        <f>'Blé_d''automne'!E30</f>
        <v>256.24</v>
      </c>
      <c r="AR29" s="3">
        <f>IF('Blé_d''automne'!G30="",'Intermédiaire_Prod-Résultats'!AQ29,'Blé_d''automne'!G30)</f>
        <v>256.24</v>
      </c>
      <c r="AT29" s="3">
        <f>Blé_printemps!E30</f>
        <v>256.24</v>
      </c>
      <c r="AU29" s="3">
        <f>IF(Blé_printemps!G30="",'Intermédiaire_Prod-Résultats'!AT29,Blé_printemps!G30)</f>
        <v>256.24</v>
      </c>
      <c r="AW29" s="3">
        <f>Seigle!E30</f>
        <v>254.5</v>
      </c>
      <c r="AX29" s="3">
        <f>IF(Seigle!G30="",'Intermédiaire_Prod-Résultats'!AW29,Seigle!G30)</f>
        <v>254.5</v>
      </c>
      <c r="AZ29" s="3">
        <f>Seigle_hybride!E30</f>
        <v>254.5</v>
      </c>
      <c r="BA29" s="3">
        <f>IF(Seigle_hybride!G30="",'Intermédiaire_Prod-Résultats'!AZ29,Seigle_hybride!G30)</f>
        <v>254.5</v>
      </c>
      <c r="BC29" s="3">
        <f>Prairie!E30</f>
        <v>226</v>
      </c>
      <c r="BD29" s="3">
        <f>IF(Prairie!G30="",'Intermédiaire_Prod-Résultats'!BC29,Prairie!G30)</f>
        <v>226</v>
      </c>
      <c r="BE29" s="37"/>
      <c r="BF29" s="34">
        <f>Chanvre!E30</f>
        <v>398.54</v>
      </c>
      <c r="BG29" s="3">
        <f>IF(Chanvre!G30="",'Intermédiaire_Prod-Résultats'!BF29,Chanvre!G30)</f>
        <v>398.54</v>
      </c>
      <c r="BI29" s="3">
        <f>Sarrasin!E30</f>
        <v>284.2</v>
      </c>
      <c r="BJ29" s="3">
        <f>IF(Sarrasin!G30="",'Intermédiaire_Prod-Résultats'!BI29,Sarrasin!G30)</f>
        <v>284.2</v>
      </c>
      <c r="BL29" s="3">
        <f>Orge!E30</f>
        <v>229.13</v>
      </c>
      <c r="BM29" s="3">
        <f>IF(Orge!G30="",'Intermédiaire_Prod-Résultats'!BL29,Orge!G30)</f>
        <v>229.13</v>
      </c>
      <c r="BO29" s="3">
        <f>Avoine!E30</f>
        <v>170.27</v>
      </c>
      <c r="BP29" s="3">
        <f>IF(Avoine!G30="",'Intermédiaire_Prod-Résultats'!BO29,Avoine!G30)</f>
        <v>170.27</v>
      </c>
      <c r="BR29" s="3">
        <f>'Blé_d''automne'!E30</f>
        <v>256.24</v>
      </c>
      <c r="BS29" s="3">
        <f>IF('Blé_d''automne'!G30="",'Intermédiaire_Prod-Résultats'!BR29,'Blé_d''automne'!G30)</f>
        <v>256.24</v>
      </c>
      <c r="BU29" s="3">
        <f>Blé_printemps!E30</f>
        <v>256.24</v>
      </c>
      <c r="BV29" s="3">
        <f>IF(Blé_printemps!G30="",'Intermédiaire_Prod-Résultats'!BU29,Blé_printemps!G30)</f>
        <v>256.24</v>
      </c>
      <c r="BX29" s="3">
        <f>Seigle!E30</f>
        <v>254.5</v>
      </c>
      <c r="BY29" s="3">
        <f>IF(Seigle!G30="",'Intermédiaire_Prod-Résultats'!BX29,Seigle!G30)</f>
        <v>254.5</v>
      </c>
      <c r="CA29" s="3">
        <f>Seigle_hybride!E30</f>
        <v>254.5</v>
      </c>
      <c r="CB29" s="3">
        <f>IF(Seigle_hybride!G30="",'Intermédiaire_Prod-Résultats'!CA29,Seigle_hybride!G30)</f>
        <v>254.5</v>
      </c>
      <c r="CD29" s="3">
        <f>Prairie!E30</f>
        <v>226</v>
      </c>
      <c r="CE29" s="3">
        <f>IF(Prairie!G30="",'Intermédiaire_Prod-Résultats'!CD29,Prairie!G30)</f>
        <v>226</v>
      </c>
    </row>
    <row r="30" spans="1:83" x14ac:dyDescent="0.25">
      <c r="A30" t="s">
        <v>17</v>
      </c>
      <c r="D30" s="3">
        <f>Chanvre!E31</f>
        <v>395.23</v>
      </c>
      <c r="E30" s="3">
        <f>IF(Chanvre!G31="",'Intermédiaire_Prod-Résultats'!D30,Chanvre!G31)</f>
        <v>395.23</v>
      </c>
      <c r="G30" s="3">
        <f>Sarrasin!E31</f>
        <v>459.57</v>
      </c>
      <c r="H30" s="3">
        <f>IF(Sarrasin!G31="",'Intermédiaire_Prod-Résultats'!G30,Sarrasin!G31)</f>
        <v>459.57</v>
      </c>
      <c r="J30" s="3">
        <f>Orge!E31</f>
        <v>385.78</v>
      </c>
      <c r="K30" s="3">
        <f>IF(Orge!G31="",'Intermédiaire_Prod-Résultats'!J30,Orge!G31)</f>
        <v>385.78</v>
      </c>
      <c r="M30" s="3">
        <f>Avoine!E31</f>
        <v>346.94</v>
      </c>
      <c r="N30" s="3">
        <f>IF(Avoine!G31="",'Intermédiaire_Prod-Résultats'!M30,Avoine!G31)</f>
        <v>346.94</v>
      </c>
      <c r="P30" s="3">
        <f>'Blé_d''automne'!E31</f>
        <v>356.22</v>
      </c>
      <c r="Q30" s="3">
        <f>IF('Blé_d''automne'!G31="",'Intermédiaire_Prod-Résultats'!P30,'Blé_d''automne'!G31)</f>
        <v>356.22</v>
      </c>
      <c r="S30" s="3">
        <f>Blé_printemps!E31</f>
        <v>356.22</v>
      </c>
      <c r="T30" s="3">
        <f>IF(Blé_printemps!G31="",'Intermédiaire_Prod-Résultats'!S30,Blé_printemps!G31)</f>
        <v>356.22</v>
      </c>
      <c r="V30" s="3">
        <f>Seigle!E31</f>
        <v>324.72000000000003</v>
      </c>
      <c r="W30" s="3">
        <f>IF(Seigle!G31="",'Intermédiaire_Prod-Résultats'!V30,Seigle!G31)</f>
        <v>324.72000000000003</v>
      </c>
      <c r="Y30" s="3">
        <f>Seigle_hybride!E31</f>
        <v>324.72000000000003</v>
      </c>
      <c r="Z30" s="3">
        <f>IF(Seigle_hybride!G31="",'Intermédiaire_Prod-Résultats'!Y30,Seigle_hybride!G31)</f>
        <v>324.72000000000003</v>
      </c>
      <c r="AB30" s="3">
        <f>Prairie!E31</f>
        <v>335</v>
      </c>
      <c r="AC30" s="3">
        <f>IF(Prairie!G31="",'Intermédiaire_Prod-Résultats'!AB30,Prairie!G31)</f>
        <v>335</v>
      </c>
      <c r="AD30" s="37"/>
      <c r="AE30" s="34">
        <f>Chanvre!E31</f>
        <v>395.23</v>
      </c>
      <c r="AF30" s="3">
        <f>IF(Chanvre!G31="",'Intermédiaire_Prod-Résultats'!AE30,Chanvre!G31)</f>
        <v>395.23</v>
      </c>
      <c r="AH30" s="3">
        <f>Sarrasin!E31</f>
        <v>459.57</v>
      </c>
      <c r="AI30" s="3">
        <f>IF(Sarrasin!G31="",'Intermédiaire_Prod-Résultats'!AH30,Sarrasin!G31)</f>
        <v>459.57</v>
      </c>
      <c r="AK30" s="3">
        <f>Orge!E31</f>
        <v>385.78</v>
      </c>
      <c r="AL30" s="3">
        <f>IF(Orge!G31="",'Intermédiaire_Prod-Résultats'!AK30,Orge!G31)</f>
        <v>385.78</v>
      </c>
      <c r="AN30" s="3">
        <f>Avoine!E31</f>
        <v>346.94</v>
      </c>
      <c r="AO30" s="3">
        <f>IF(Avoine!G31="",'Intermédiaire_Prod-Résultats'!AN30,Avoine!G31)</f>
        <v>346.94</v>
      </c>
      <c r="AQ30" s="3">
        <f>'Blé_d''automne'!E31</f>
        <v>356.22</v>
      </c>
      <c r="AR30" s="3">
        <f>IF('Blé_d''automne'!G31="",'Intermédiaire_Prod-Résultats'!AQ30,'Blé_d''automne'!G31)</f>
        <v>356.22</v>
      </c>
      <c r="AT30" s="3">
        <f>Blé_printemps!E31</f>
        <v>356.22</v>
      </c>
      <c r="AU30" s="3">
        <f>IF(Blé_printemps!G31="",'Intermédiaire_Prod-Résultats'!AT30,Blé_printemps!G31)</f>
        <v>356.22</v>
      </c>
      <c r="AW30" s="3">
        <f>Seigle!E31</f>
        <v>324.72000000000003</v>
      </c>
      <c r="AX30" s="3">
        <f>IF(Seigle!G31="",'Intermédiaire_Prod-Résultats'!AW30,Seigle!G31)</f>
        <v>324.72000000000003</v>
      </c>
      <c r="AZ30" s="3">
        <f>Seigle_hybride!E31</f>
        <v>324.72000000000003</v>
      </c>
      <c r="BA30" s="3">
        <f>IF(Seigle_hybride!G31="",'Intermédiaire_Prod-Résultats'!AZ30,Seigle_hybride!G31)</f>
        <v>324.72000000000003</v>
      </c>
      <c r="BC30" s="3">
        <f>Prairie!E31</f>
        <v>335</v>
      </c>
      <c r="BD30" s="3">
        <f>IF(Prairie!G31="",'Intermédiaire_Prod-Résultats'!BC30,Prairie!G31)</f>
        <v>335</v>
      </c>
      <c r="BE30" s="37"/>
      <c r="BF30" s="34">
        <f>Chanvre!E31</f>
        <v>395.23</v>
      </c>
      <c r="BG30" s="3">
        <f>IF(Chanvre!G31="",'Intermédiaire_Prod-Résultats'!BF30,Chanvre!G31)</f>
        <v>395.23</v>
      </c>
      <c r="BI30" s="3">
        <f>Sarrasin!E31</f>
        <v>459.57</v>
      </c>
      <c r="BJ30" s="3">
        <f>IF(Sarrasin!G31="",'Intermédiaire_Prod-Résultats'!BI30,Sarrasin!G31)</f>
        <v>459.57</v>
      </c>
      <c r="BL30" s="3">
        <f>Orge!E31</f>
        <v>385.78</v>
      </c>
      <c r="BM30" s="3">
        <f>IF(Orge!G31="",'Intermédiaire_Prod-Résultats'!BL30,Orge!G31)</f>
        <v>385.78</v>
      </c>
      <c r="BO30" s="3">
        <f>Avoine!E31</f>
        <v>346.94</v>
      </c>
      <c r="BP30" s="3">
        <f>IF(Avoine!G31="",'Intermédiaire_Prod-Résultats'!BO30,Avoine!G31)</f>
        <v>346.94</v>
      </c>
      <c r="BR30" s="3">
        <f>'Blé_d''automne'!E31</f>
        <v>356.22</v>
      </c>
      <c r="BS30" s="3">
        <f>IF('Blé_d''automne'!G31="",'Intermédiaire_Prod-Résultats'!BR30,'Blé_d''automne'!G31)</f>
        <v>356.22</v>
      </c>
      <c r="BU30" s="3">
        <f>Blé_printemps!E31</f>
        <v>356.22</v>
      </c>
      <c r="BV30" s="3">
        <f>IF(Blé_printemps!G31="",'Intermédiaire_Prod-Résultats'!BU30,Blé_printemps!G31)</f>
        <v>356.22</v>
      </c>
      <c r="BX30" s="3">
        <f>Seigle!E31</f>
        <v>324.72000000000003</v>
      </c>
      <c r="BY30" s="3">
        <f>IF(Seigle!G31="",'Intermédiaire_Prod-Résultats'!BX30,Seigle!G31)</f>
        <v>324.72000000000003</v>
      </c>
      <c r="CA30" s="3">
        <f>Seigle_hybride!E31</f>
        <v>324.72000000000003</v>
      </c>
      <c r="CB30" s="3">
        <f>IF(Seigle_hybride!G31="",'Intermédiaire_Prod-Résultats'!CA30,Seigle_hybride!G31)</f>
        <v>324.72000000000003</v>
      </c>
      <c r="CD30" s="3">
        <f>Prairie!E31</f>
        <v>335</v>
      </c>
      <c r="CE30" s="3">
        <f>IF(Prairie!G31="",'Intermédiaire_Prod-Résultats'!CD30,Prairie!G31)</f>
        <v>335</v>
      </c>
    </row>
    <row r="31" spans="1:83" x14ac:dyDescent="0.25">
      <c r="D31" s="3"/>
      <c r="E31" s="3"/>
      <c r="G31" s="3"/>
      <c r="H31" s="3"/>
      <c r="J31" s="3"/>
      <c r="K31" s="3"/>
      <c r="M31" s="3"/>
      <c r="N31" s="3"/>
      <c r="P31" s="3"/>
      <c r="Q31" s="3"/>
      <c r="S31" s="3"/>
      <c r="T31" s="3"/>
      <c r="V31" s="3"/>
      <c r="W31" s="3"/>
      <c r="Y31" s="3"/>
      <c r="Z31" s="3"/>
      <c r="AB31" s="3"/>
      <c r="AC31" s="3"/>
      <c r="AD31" s="37"/>
      <c r="AE31" s="34"/>
      <c r="AF31" s="3"/>
      <c r="AH31" s="3"/>
      <c r="AI31" s="3"/>
      <c r="AK31" s="3"/>
      <c r="AL31" s="3"/>
      <c r="AN31" s="3"/>
      <c r="AO31" s="3"/>
      <c r="AQ31" s="3"/>
      <c r="AR31" s="3"/>
      <c r="AT31" s="3"/>
      <c r="AU31" s="3"/>
      <c r="AW31" s="3"/>
      <c r="AX31" s="3"/>
      <c r="AZ31" s="3"/>
      <c r="BA31" s="3"/>
      <c r="BC31" s="3"/>
      <c r="BD31" s="3"/>
      <c r="BE31" s="37"/>
      <c r="BF31" s="34"/>
      <c r="BG31" s="3"/>
      <c r="BI31" s="3"/>
      <c r="BJ31" s="3"/>
      <c r="BL31" s="3"/>
      <c r="BM31" s="3"/>
      <c r="BO31" s="3"/>
      <c r="BP31" s="3"/>
      <c r="BR31" s="3"/>
      <c r="BS31" s="3"/>
      <c r="BU31" s="3"/>
      <c r="BV31" s="3"/>
      <c r="BX31" s="3"/>
      <c r="BY31" s="3"/>
      <c r="CA31" s="3"/>
      <c r="CB31" s="3"/>
      <c r="CD31" s="3"/>
      <c r="CE31" s="3"/>
    </row>
    <row r="32" spans="1:83" ht="44.1" customHeight="1" thickBot="1" x14ac:dyDescent="0.3">
      <c r="A32" s="83" t="s">
        <v>140</v>
      </c>
      <c r="B32" s="83"/>
      <c r="C32" s="83"/>
      <c r="D32" s="7">
        <f>D25-SUM(D29:D30)</f>
        <v>820.62382000000002</v>
      </c>
      <c r="E32" s="7">
        <f>E25-SUM(E29:E30)</f>
        <v>820.62382000000002</v>
      </c>
      <c r="G32" s="7">
        <f>G25-SUM(G29:G30)</f>
        <v>130.11869999999999</v>
      </c>
      <c r="H32" s="7">
        <f>H25-SUM(H29:H30)</f>
        <v>130.11869999999999</v>
      </c>
      <c r="J32" s="7">
        <f>J25-SUM(J29:J30)</f>
        <v>-196.59989999999982</v>
      </c>
      <c r="K32" s="7">
        <f>K25-SUM(K29:K30)</f>
        <v>-196.59989999999982</v>
      </c>
      <c r="M32" s="7">
        <f>M25-SUM(M29:M30)</f>
        <v>-573.3775999999998</v>
      </c>
      <c r="N32" s="7">
        <f>N25-SUM(N29:N30)</f>
        <v>-573.3775999999998</v>
      </c>
      <c r="P32" s="7">
        <f>P25-SUM(P29:P30)</f>
        <v>379.33750899999973</v>
      </c>
      <c r="Q32" s="7">
        <f>Q25-SUM(Q29:Q30)</f>
        <v>379.33750899999973</v>
      </c>
      <c r="S32" s="7">
        <f>S25-SUM(S29:S30)</f>
        <v>-35.754300000000057</v>
      </c>
      <c r="T32" s="7">
        <f>T25-SUM(T29:T30)</f>
        <v>-35.754300000000057</v>
      </c>
      <c r="V32" s="7">
        <f>V25-SUM(V29:V30)</f>
        <v>-249.59060000000022</v>
      </c>
      <c r="W32" s="7">
        <f>W25-SUM(W29:W30)</f>
        <v>-249.59060000000022</v>
      </c>
      <c r="Y32" s="7">
        <f>Y25-SUM(Y29:Y30)</f>
        <v>695.84629999999993</v>
      </c>
      <c r="Z32" s="7">
        <f>Z25-SUM(Z29:Z30)</f>
        <v>695.84629999999993</v>
      </c>
      <c r="AB32" s="7">
        <f>AB25-SUM(AB29:AB30)</f>
        <v>-552.18129999999996</v>
      </c>
      <c r="AC32" s="7">
        <f>AC25-SUM(AC29:AC30)</f>
        <v>-552.18129999999996</v>
      </c>
      <c r="AD32" s="37"/>
      <c r="AE32" s="7">
        <f>AE25-SUM(AE29:AE30)</f>
        <v>820.62382000000002</v>
      </c>
      <c r="AF32" s="7">
        <f>AF25-SUM(AF29:AF30)</f>
        <v>820.62382000000002</v>
      </c>
      <c r="AH32" s="7">
        <f>AH25-SUM(AH29:AH30)</f>
        <v>130.11869999999999</v>
      </c>
      <c r="AI32" s="7">
        <f>AI25-SUM(AI29:AI30)</f>
        <v>130.11869999999999</v>
      </c>
      <c r="AK32" s="7">
        <f>AK25-SUM(AK29:AK30)</f>
        <v>-196.59989999999982</v>
      </c>
      <c r="AL32" s="7">
        <f>AL25-SUM(AL29:AL30)</f>
        <v>-196.59989999999982</v>
      </c>
      <c r="AN32" s="7">
        <f>AN25-SUM(AN29:AN30)</f>
        <v>-573.3775999999998</v>
      </c>
      <c r="AO32" s="7">
        <f>AO25-SUM(AO29:AO30)</f>
        <v>-573.3775999999998</v>
      </c>
      <c r="AQ32" s="7">
        <f>AQ25-SUM(AQ29:AQ30)</f>
        <v>379.33750899999973</v>
      </c>
      <c r="AR32" s="7">
        <f>AR25-SUM(AR29:AR30)</f>
        <v>379.33750899999973</v>
      </c>
      <c r="AT32" s="7">
        <f>AT25-SUM(AT29:AT30)</f>
        <v>-35.754300000000057</v>
      </c>
      <c r="AU32" s="7">
        <f>AU25-SUM(AU29:AU30)</f>
        <v>-35.754300000000057</v>
      </c>
      <c r="AW32" s="7">
        <f>AW25-SUM(AW29:AW30)</f>
        <v>-249.59060000000022</v>
      </c>
      <c r="AX32" s="7">
        <f>AX25-SUM(AX29:AX30)</f>
        <v>-249.59060000000022</v>
      </c>
      <c r="AZ32" s="7">
        <f>AZ25-SUM(AZ29:AZ30)</f>
        <v>695.84629999999993</v>
      </c>
      <c r="BA32" s="7">
        <f>BA25-SUM(BA29:BA30)</f>
        <v>695.84629999999993</v>
      </c>
      <c r="BC32" s="7">
        <f>BC25-SUM(BC29:BC30)</f>
        <v>-534.68129999999996</v>
      </c>
      <c r="BD32" s="7">
        <f>BD25-SUM(BD29:BD30)</f>
        <v>-534.68129999999996</v>
      </c>
      <c r="BE32" s="37"/>
      <c r="BF32" s="7">
        <f>BF25-SUM(BF29:BF30)</f>
        <v>820.62382000000002</v>
      </c>
      <c r="BG32" s="7">
        <f>BG25-SUM(BG29:BG30)</f>
        <v>820.62382000000002</v>
      </c>
      <c r="BI32" s="7">
        <f>BI25-SUM(BI29:BI30)</f>
        <v>130.11869999999999</v>
      </c>
      <c r="BJ32" s="7">
        <f>BJ25-SUM(BJ29:BJ30)</f>
        <v>130.11869999999999</v>
      </c>
      <c r="BL32" s="7">
        <f>BL25-SUM(BL29:BL30)</f>
        <v>-196.59989999999982</v>
      </c>
      <c r="BM32" s="7">
        <f>BM25-SUM(BM29:BM30)</f>
        <v>-196.59989999999982</v>
      </c>
      <c r="BO32" s="7">
        <f>BO25-SUM(BO29:BO30)</f>
        <v>-573.3775999999998</v>
      </c>
      <c r="BP32" s="7">
        <f>BP25-SUM(BP29:BP30)</f>
        <v>-573.3775999999998</v>
      </c>
      <c r="BR32" s="7">
        <f>BR25-SUM(BR29:BR30)</f>
        <v>379.33750899999973</v>
      </c>
      <c r="BS32" s="7">
        <f>BS25-SUM(BS29:BS30)</f>
        <v>379.33750899999973</v>
      </c>
      <c r="BU32" s="7">
        <f>BU25-SUM(BU29:BU30)</f>
        <v>-35.754300000000057</v>
      </c>
      <c r="BV32" s="7">
        <f>BV25-SUM(BV29:BV30)</f>
        <v>-35.754300000000057</v>
      </c>
      <c r="BX32" s="7">
        <f>BX25-SUM(BX29:BX30)</f>
        <v>-249.59060000000022</v>
      </c>
      <c r="BY32" s="7">
        <f>BY25-SUM(BY29:BY30)</f>
        <v>-249.59060000000022</v>
      </c>
      <c r="CA32" s="7">
        <f>CA25-SUM(CA29:CA30)</f>
        <v>695.84629999999993</v>
      </c>
      <c r="CB32" s="7">
        <f>CB25-SUM(CB29:CB30)</f>
        <v>695.84629999999993</v>
      </c>
      <c r="CD32" s="7">
        <f>CD25-SUM(CD29:CD30)</f>
        <v>-517.18129999999996</v>
      </c>
      <c r="CE32" s="7">
        <f>CE25-SUM(CE29:CE30)</f>
        <v>-517.18129999999996</v>
      </c>
    </row>
    <row r="33" ht="15.75" thickTop="1" x14ac:dyDescent="0.25"/>
  </sheetData>
  <mergeCells count="5">
    <mergeCell ref="A25:C25"/>
    <mergeCell ref="A32:C32"/>
    <mergeCell ref="D1:AC1"/>
    <mergeCell ref="AE1:BD1"/>
    <mergeCell ref="BF1:CE1"/>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4772F-7AA7-4AE0-B0DA-59ACDC4AD5A6}">
  <sheetPr>
    <tabColor theme="5" tint="0.79998168889431442"/>
  </sheetPr>
  <dimension ref="A1:AP41"/>
  <sheetViews>
    <sheetView zoomScaleNormal="100" workbookViewId="0">
      <selection sqref="A1:T1"/>
    </sheetView>
  </sheetViews>
  <sheetFormatPr baseColWidth="10" defaultColWidth="10.85546875" defaultRowHeight="15" x14ac:dyDescent="0.25"/>
  <cols>
    <col min="1" max="1" width="88.85546875" customWidth="1"/>
    <col min="2" max="19" width="10.5703125" customWidth="1"/>
    <col min="20" max="20" width="16.42578125" bestFit="1" customWidth="1"/>
    <col min="22" max="22" width="90.85546875" customWidth="1"/>
    <col min="23" max="40" width="10.5703125" customWidth="1"/>
    <col min="41" max="41" width="16.42578125" bestFit="1" customWidth="1"/>
  </cols>
  <sheetData>
    <row r="1" spans="1:42" ht="18.75" x14ac:dyDescent="0.3">
      <c r="A1" s="90" t="s">
        <v>54</v>
      </c>
      <c r="B1" s="90"/>
      <c r="C1" s="90"/>
      <c r="D1" s="90"/>
      <c r="E1" s="90"/>
      <c r="F1" s="90"/>
      <c r="G1" s="90"/>
      <c r="H1" s="90"/>
      <c r="I1" s="90"/>
      <c r="J1" s="90"/>
      <c r="K1" s="90"/>
      <c r="L1" s="90"/>
      <c r="M1" s="90"/>
      <c r="N1" s="90"/>
      <c r="O1" s="90"/>
      <c r="P1" s="90"/>
      <c r="Q1" s="90"/>
      <c r="R1" s="90"/>
      <c r="S1" s="90"/>
      <c r="T1" s="90"/>
      <c r="V1" s="87" t="s">
        <v>53</v>
      </c>
      <c r="W1" s="87"/>
      <c r="X1" s="87"/>
      <c r="Y1" s="87"/>
      <c r="Z1" s="87"/>
      <c r="AA1" s="87"/>
      <c r="AB1" s="87"/>
      <c r="AC1" s="87"/>
      <c r="AD1" s="87"/>
      <c r="AE1" s="87"/>
      <c r="AF1" s="87"/>
      <c r="AG1" s="87"/>
      <c r="AH1" s="87"/>
      <c r="AI1" s="87"/>
      <c r="AJ1" s="87"/>
      <c r="AK1" s="87"/>
      <c r="AL1" s="87"/>
      <c r="AM1" s="87"/>
      <c r="AN1" s="87"/>
      <c r="AO1" s="87"/>
    </row>
    <row r="2" spans="1:42" ht="15.75" x14ac:dyDescent="0.25">
      <c r="A2" s="91" t="s">
        <v>146</v>
      </c>
      <c r="B2" s="91"/>
      <c r="C2" s="91"/>
      <c r="D2" s="91"/>
      <c r="E2" s="91"/>
      <c r="F2" s="91"/>
      <c r="G2" s="91"/>
      <c r="H2" s="91"/>
      <c r="I2" s="91"/>
      <c r="J2" s="91"/>
      <c r="K2" s="91"/>
      <c r="L2" s="91"/>
      <c r="M2" s="91"/>
      <c r="N2" s="91"/>
      <c r="O2" s="91"/>
      <c r="P2" s="91"/>
      <c r="Q2" s="91"/>
      <c r="R2" s="91"/>
      <c r="S2" s="91"/>
      <c r="T2" s="91"/>
      <c r="V2" s="86" t="s">
        <v>146</v>
      </c>
      <c r="W2" s="86"/>
      <c r="X2" s="86"/>
      <c r="Y2" s="86"/>
      <c r="Z2" s="86"/>
      <c r="AA2" s="86"/>
      <c r="AB2" s="86"/>
      <c r="AC2" s="86"/>
      <c r="AD2" s="86"/>
      <c r="AE2" s="86"/>
      <c r="AF2" s="86"/>
      <c r="AG2" s="86"/>
      <c r="AH2" s="86"/>
      <c r="AI2" s="86"/>
      <c r="AJ2" s="86"/>
      <c r="AK2" s="86"/>
      <c r="AL2" s="86"/>
      <c r="AM2" s="86"/>
      <c r="AN2" s="86"/>
      <c r="AO2" s="86"/>
    </row>
    <row r="3" spans="1:42" ht="15.75" x14ac:dyDescent="0.25">
      <c r="A3" s="12"/>
      <c r="B3" s="94" t="s">
        <v>128</v>
      </c>
      <c r="C3" s="95"/>
      <c r="D3" s="95"/>
      <c r="E3" s="95"/>
      <c r="F3" s="96"/>
      <c r="G3" s="94" t="s">
        <v>129</v>
      </c>
      <c r="H3" s="95"/>
      <c r="I3" s="95"/>
      <c r="J3" s="95"/>
      <c r="K3" s="96"/>
      <c r="L3" s="97" t="s">
        <v>130</v>
      </c>
      <c r="M3" s="98"/>
      <c r="N3" s="98"/>
      <c r="O3" s="98"/>
      <c r="P3" s="98"/>
      <c r="Q3" s="12"/>
      <c r="R3" s="12"/>
      <c r="S3" s="12"/>
      <c r="T3" s="12"/>
      <c r="V3" s="12"/>
      <c r="W3" s="94" t="s">
        <v>128</v>
      </c>
      <c r="X3" s="95"/>
      <c r="Y3" s="95"/>
      <c r="Z3" s="95"/>
      <c r="AA3" s="96"/>
      <c r="AB3" s="94" t="s">
        <v>129</v>
      </c>
      <c r="AC3" s="95"/>
      <c r="AD3" s="95"/>
      <c r="AE3" s="95"/>
      <c r="AF3" s="96"/>
      <c r="AG3" s="97" t="s">
        <v>130</v>
      </c>
      <c r="AH3" s="98"/>
      <c r="AI3" s="98"/>
      <c r="AJ3" s="98"/>
      <c r="AK3" s="98"/>
      <c r="AL3" s="12"/>
      <c r="AM3" s="12"/>
      <c r="AN3" s="12"/>
      <c r="AO3" s="12"/>
    </row>
    <row r="4" spans="1:42" x14ac:dyDescent="0.25">
      <c r="A4" s="59" t="s">
        <v>196</v>
      </c>
      <c r="B4" s="17" t="s">
        <v>45</v>
      </c>
      <c r="C4" s="13" t="s">
        <v>46</v>
      </c>
      <c r="D4" s="13" t="s">
        <v>47</v>
      </c>
      <c r="E4" s="13" t="s">
        <v>48</v>
      </c>
      <c r="F4" s="13" t="s">
        <v>49</v>
      </c>
      <c r="G4" s="13" t="s">
        <v>50</v>
      </c>
      <c r="H4" s="35" t="s">
        <v>119</v>
      </c>
      <c r="I4" s="35" t="s">
        <v>120</v>
      </c>
      <c r="J4" s="35" t="s">
        <v>121</v>
      </c>
      <c r="K4" s="35" t="s">
        <v>123</v>
      </c>
      <c r="L4" s="35" t="s">
        <v>154</v>
      </c>
      <c r="M4" s="35" t="s">
        <v>155</v>
      </c>
      <c r="N4" s="35" t="s">
        <v>156</v>
      </c>
      <c r="O4" s="35" t="s">
        <v>157</v>
      </c>
      <c r="P4" s="35" t="s">
        <v>158</v>
      </c>
      <c r="Q4" s="35" t="s">
        <v>170</v>
      </c>
      <c r="R4" s="35" t="s">
        <v>171</v>
      </c>
      <c r="S4" s="35" t="s">
        <v>172</v>
      </c>
      <c r="T4" s="14" t="s">
        <v>52</v>
      </c>
      <c r="V4" s="62" t="s">
        <v>196</v>
      </c>
      <c r="W4" s="17" t="s">
        <v>45</v>
      </c>
      <c r="X4" s="13" t="s">
        <v>46</v>
      </c>
      <c r="Y4" s="13" t="s">
        <v>47</v>
      </c>
      <c r="Z4" s="13" t="s">
        <v>48</v>
      </c>
      <c r="AA4" s="13" t="s">
        <v>49</v>
      </c>
      <c r="AB4" s="13" t="s">
        <v>50</v>
      </c>
      <c r="AC4" s="35" t="s">
        <v>119</v>
      </c>
      <c r="AD4" s="35" t="s">
        <v>120</v>
      </c>
      <c r="AE4" s="35" t="s">
        <v>121</v>
      </c>
      <c r="AF4" s="35" t="s">
        <v>123</v>
      </c>
      <c r="AG4" s="35" t="s">
        <v>154</v>
      </c>
      <c r="AH4" s="35" t="s">
        <v>155</v>
      </c>
      <c r="AI4" s="35" t="s">
        <v>156</v>
      </c>
      <c r="AJ4" s="35" t="s">
        <v>157</v>
      </c>
      <c r="AK4" s="35" t="s">
        <v>158</v>
      </c>
      <c r="AL4" s="35" t="s">
        <v>170</v>
      </c>
      <c r="AM4" s="35" t="s">
        <v>171</v>
      </c>
      <c r="AN4" s="35" t="s">
        <v>172</v>
      </c>
      <c r="AO4" s="14" t="s">
        <v>52</v>
      </c>
    </row>
    <row r="5" spans="1:42" x14ac:dyDescent="0.25">
      <c r="A5" s="15" t="s">
        <v>173</v>
      </c>
      <c r="B5" s="48">
        <f>'Intermédiaire_Prod-Résultats'!D25</f>
        <v>1614.39382</v>
      </c>
      <c r="C5" s="49">
        <f>'Intermédiaire_Prod-Résultats'!S25</f>
        <v>576.70569999999998</v>
      </c>
      <c r="D5" s="49">
        <f>'Intermédiaire_Prod-Résultats'!M25</f>
        <v>-56.167599999999766</v>
      </c>
      <c r="E5" s="49">
        <f>'Intermédiaire_Prod-Résultats'!G25</f>
        <v>873.88869999999997</v>
      </c>
      <c r="F5" s="49">
        <f>-'Cultures de couverture'!E9+Saisies!B53*Saisies!B54+Saisies!B70</f>
        <v>-251.45999999999998</v>
      </c>
      <c r="G5" s="49">
        <f>'Intermédiaire_Prod-Résultats'!AE25</f>
        <v>1614.39382</v>
      </c>
      <c r="H5" s="50">
        <f>'Intermédiaire_Prod-Résultats'!AT25</f>
        <v>576.70569999999998</v>
      </c>
      <c r="I5" s="50">
        <f>'Intermédiaire_Prod-Résultats'!AN25</f>
        <v>-56.167599999999766</v>
      </c>
      <c r="J5" s="50">
        <f>'Intermédiaire_Prod-Résultats'!AH25</f>
        <v>873.88869999999997</v>
      </c>
      <c r="K5" s="50">
        <f>-'Cultures de couverture'!E9+Saisies!B53*Saisies!B54+Saisies!B70</f>
        <v>-251.45999999999998</v>
      </c>
      <c r="L5" s="50">
        <f>'Intermédiaire_Prod-Résultats'!BF25</f>
        <v>1614.39382</v>
      </c>
      <c r="M5" s="50">
        <f>'Intermédiaire_Prod-Résultats'!BU25</f>
        <v>576.70569999999998</v>
      </c>
      <c r="N5" s="50">
        <f>'Intermédiaire_Prod-Résultats'!BO25</f>
        <v>-56.167599999999766</v>
      </c>
      <c r="O5" s="50">
        <f>'Intermédiaire_Prod-Résultats'!BI25</f>
        <v>873.88869999999997</v>
      </c>
      <c r="P5" s="50">
        <f>-'Cultures de couverture'!E9+Saisies!B53*Saisies!B54+Saisies!B70</f>
        <v>-251.45999999999998</v>
      </c>
      <c r="Q5" s="46" t="s">
        <v>122</v>
      </c>
      <c r="R5" s="46" t="s">
        <v>122</v>
      </c>
      <c r="S5" s="46" t="s">
        <v>122</v>
      </c>
      <c r="T5" s="51">
        <f t="shared" ref="T5:T19" si="0">AVERAGE(B5:S5)</f>
        <v>551.47212400000012</v>
      </c>
      <c r="V5" s="15" t="str">
        <f>A5</f>
        <v>CHANVRE - BLÉ DE PRINTEMPS PANIFIABLE - AVOINE - SARRASIN - ENGRAIS VERTS</v>
      </c>
      <c r="W5" s="48">
        <f>'Intermédiaire_Prod-Résultats'!E25</f>
        <v>1614.39382</v>
      </c>
      <c r="X5" s="49">
        <f>'Intermédiaire_Prod-Résultats'!T25</f>
        <v>576.70569999999998</v>
      </c>
      <c r="Y5" s="49">
        <f>'Intermédiaire_Prod-Résultats'!N25</f>
        <v>-56.167599999999766</v>
      </c>
      <c r="Z5" s="49">
        <f>'Intermédiaire_Prod-Résultats'!H25</f>
        <v>873.88869999999997</v>
      </c>
      <c r="AA5" s="49">
        <f>-'Cultures de couverture'!$E$9+(IF(Saisies!$C$53="",Saisies!$B$53,Saisies!$C$53)*IF(Saisies!$C$54="",Saisies!$B$54,Saisies!$C$54))+IF(Saisies!$C$70="",Saisies!$B$70,Saisies!$C$70)</f>
        <v>-251.45999999999998</v>
      </c>
      <c r="AB5" s="49">
        <f>'Intermédiaire_Prod-Résultats'!AF25</f>
        <v>1614.39382</v>
      </c>
      <c r="AC5" s="50">
        <f>'Intermédiaire_Prod-Résultats'!AU25</f>
        <v>576.70569999999998</v>
      </c>
      <c r="AD5" s="50">
        <f>'Intermédiaire_Prod-Résultats'!AO25</f>
        <v>-56.167599999999766</v>
      </c>
      <c r="AE5" s="50">
        <f>'Intermédiaire_Prod-Résultats'!AI25</f>
        <v>873.88869999999997</v>
      </c>
      <c r="AF5" s="50">
        <f>-'Cultures de couverture'!$E$9+(IF(Saisies!$C$53="",Saisies!$B$53,Saisies!$C$53)*IF(Saisies!$C$54="",Saisies!$B$54,Saisies!$C$54))+IF(Saisies!$C$70="",Saisies!$B$70,Saisies!$C$70)</f>
        <v>-251.45999999999998</v>
      </c>
      <c r="AG5" s="50">
        <f>'Intermédiaire_Prod-Résultats'!BG25</f>
        <v>1614.39382</v>
      </c>
      <c r="AH5" s="50">
        <f>'Intermédiaire_Prod-Résultats'!BV25</f>
        <v>576.70569999999998</v>
      </c>
      <c r="AI5" s="50">
        <f>'Intermédiaire_Prod-Résultats'!BP25</f>
        <v>-56.167599999999766</v>
      </c>
      <c r="AJ5" s="50">
        <f>'Intermédiaire_Prod-Résultats'!BJ25</f>
        <v>873.88869999999997</v>
      </c>
      <c r="AK5" s="50">
        <f>-'Cultures de couverture'!$E$9+(IF(Saisies!$C$53="",Saisies!$B$53,Saisies!$C$53)*IF(Saisies!$C$54="",Saisies!$B$54,Saisies!$C$54))+IF(Saisies!$C$70="",Saisies!$B$70,Saisies!$C$70)</f>
        <v>-251.45999999999998</v>
      </c>
      <c r="AL5" s="46" t="s">
        <v>122</v>
      </c>
      <c r="AM5" s="46" t="s">
        <v>122</v>
      </c>
      <c r="AN5" s="46" t="s">
        <v>122</v>
      </c>
      <c r="AO5" s="51">
        <f>AVERAGE(W5:AN5)</f>
        <v>551.47212400000012</v>
      </c>
      <c r="AP5" s="3"/>
    </row>
    <row r="6" spans="1:42" x14ac:dyDescent="0.25">
      <c r="A6" s="16" t="s">
        <v>174</v>
      </c>
      <c r="B6" s="52">
        <f>'Intermédiaire_Prod-Résultats'!D25</f>
        <v>1614.39382</v>
      </c>
      <c r="C6" s="53">
        <f>'Intermédiaire_Prod-Résultats'!P25</f>
        <v>991.79750899999976</v>
      </c>
      <c r="D6" s="53">
        <f>'Intermédiaire_Prod-Résultats'!M25</f>
        <v>-56.167599999999766</v>
      </c>
      <c r="E6" s="53">
        <f>'Intermédiaire_Prod-Résultats'!G25</f>
        <v>873.88869999999997</v>
      </c>
      <c r="F6" s="49">
        <f>-'Cultures de couverture'!E9+Saisies!B53*Saisies!B54+Saisies!B70</f>
        <v>-251.45999999999998</v>
      </c>
      <c r="G6" s="53">
        <f>'Intermédiaire_Prod-Résultats'!AE25</f>
        <v>1614.39382</v>
      </c>
      <c r="H6" s="54">
        <f>'Intermédiaire_Prod-Résultats'!AQ25</f>
        <v>991.79750899999976</v>
      </c>
      <c r="I6" s="50">
        <f>'Intermédiaire_Prod-Résultats'!AN25</f>
        <v>-56.167599999999766</v>
      </c>
      <c r="J6" s="50">
        <f>'Intermédiaire_Prod-Résultats'!AH25</f>
        <v>873.88869999999997</v>
      </c>
      <c r="K6" s="50">
        <f>-'Cultures de couverture'!E9+Saisies!B53*Saisies!B54+Saisies!B70</f>
        <v>-251.45999999999998</v>
      </c>
      <c r="L6" s="50">
        <f>'Intermédiaire_Prod-Résultats'!BF25</f>
        <v>1614.39382</v>
      </c>
      <c r="M6" s="54">
        <f>'Intermédiaire_Prod-Résultats'!BR25</f>
        <v>991.79750899999976</v>
      </c>
      <c r="N6" s="50">
        <f>'Intermédiaire_Prod-Résultats'!BO25</f>
        <v>-56.167599999999766</v>
      </c>
      <c r="O6" s="50">
        <f>'Intermédiaire_Prod-Résultats'!BI25</f>
        <v>873.88869999999997</v>
      </c>
      <c r="P6" s="50">
        <f>-'Cultures de couverture'!E9+Saisies!B53*Saisies!B54+Saisies!B70</f>
        <v>-251.45999999999998</v>
      </c>
      <c r="Q6" s="46" t="s">
        <v>122</v>
      </c>
      <c r="R6" s="46" t="s">
        <v>122</v>
      </c>
      <c r="S6" s="46" t="s">
        <v>122</v>
      </c>
      <c r="T6" s="51">
        <f t="shared" si="0"/>
        <v>634.49048580000022</v>
      </c>
      <c r="V6" s="15" t="str">
        <f t="shared" ref="V6:V20" si="1">A6</f>
        <v>CHANVRE - BLÉ D'AUTOMNE PANIFIABLE - AVOINE - SARRASIN - ENGRAIS VERTS</v>
      </c>
      <c r="W6" s="52">
        <f>'Intermédiaire_Prod-Résultats'!E25</f>
        <v>1614.39382</v>
      </c>
      <c r="X6" s="53">
        <f>'Intermédiaire_Prod-Résultats'!Q25</f>
        <v>991.79750899999976</v>
      </c>
      <c r="Y6" s="53">
        <f>'Intermédiaire_Prod-Résultats'!N25</f>
        <v>-56.167599999999766</v>
      </c>
      <c r="Z6" s="53">
        <f>'Intermédiaire_Prod-Résultats'!H25</f>
        <v>873.88869999999997</v>
      </c>
      <c r="AA6" s="49">
        <f>-'Cultures de couverture'!$E$9+(IF(Saisies!$C$53="",Saisies!$B$53,Saisies!$C$53)*IF(Saisies!$C$54="",Saisies!$B$54,Saisies!$C$54))+IF(Saisies!$C$70="",Saisies!$B$70,Saisies!$C$70)</f>
        <v>-251.45999999999998</v>
      </c>
      <c r="AB6" s="53">
        <f>'Intermédiaire_Prod-Résultats'!AF25</f>
        <v>1614.39382</v>
      </c>
      <c r="AC6" s="54">
        <f>'Intermédiaire_Prod-Résultats'!AR25</f>
        <v>991.79750899999976</v>
      </c>
      <c r="AD6" s="50">
        <f>'Intermédiaire_Prod-Résultats'!AO25</f>
        <v>-56.167599999999766</v>
      </c>
      <c r="AE6" s="50">
        <f>'Intermédiaire_Prod-Résultats'!AI25</f>
        <v>873.88869999999997</v>
      </c>
      <c r="AF6" s="50">
        <f>-'Cultures de couverture'!$E$9+(IF(Saisies!$C$53="",Saisies!$B$53,Saisies!$C$53)*IF(Saisies!$C$54="",Saisies!$B$54,Saisies!$C$54))+IF(Saisies!$C$70="",Saisies!$B$70,Saisies!$C$70)</f>
        <v>-251.45999999999998</v>
      </c>
      <c r="AG6" s="50">
        <f>'Intermédiaire_Prod-Résultats'!BG25</f>
        <v>1614.39382</v>
      </c>
      <c r="AH6" s="54">
        <f>'Intermédiaire_Prod-Résultats'!BS25</f>
        <v>991.79750899999976</v>
      </c>
      <c r="AI6" s="50">
        <f>'Intermédiaire_Prod-Résultats'!BP25</f>
        <v>-56.167599999999766</v>
      </c>
      <c r="AJ6" s="50">
        <f>'Intermédiaire_Prod-Résultats'!BJ25</f>
        <v>873.88869999999997</v>
      </c>
      <c r="AK6" s="50">
        <f>-'Cultures de couverture'!$E$9+(IF(Saisies!$C$53="",Saisies!$B$53,Saisies!$C$53)*IF(Saisies!$C$54="",Saisies!$B$54,Saisies!$C$54))+IF(Saisies!$C$70="",Saisies!$B$70,Saisies!$C$70)</f>
        <v>-251.45999999999998</v>
      </c>
      <c r="AL6" s="46" t="s">
        <v>122</v>
      </c>
      <c r="AM6" s="46" t="s">
        <v>122</v>
      </c>
      <c r="AN6" s="46" t="s">
        <v>122</v>
      </c>
      <c r="AO6" s="51">
        <f t="shared" ref="AO6:AO20" si="2">AVERAGE(W6:AN6)</f>
        <v>634.49048580000022</v>
      </c>
      <c r="AP6" s="3"/>
    </row>
    <row r="7" spans="1:42" x14ac:dyDescent="0.25">
      <c r="A7" s="16" t="s">
        <v>167</v>
      </c>
      <c r="B7" s="52">
        <f>'Intermédiaire_Prod-Résultats'!D25</f>
        <v>1614.39382</v>
      </c>
      <c r="C7" s="53">
        <f>'Intermédiaire_Prod-Résultats'!J25</f>
        <v>418.31010000000015</v>
      </c>
      <c r="D7" s="53">
        <f>'Intermédiaire_Prod-Résultats'!M25</f>
        <v>-56.167599999999766</v>
      </c>
      <c r="E7" s="53">
        <f>'Intermédiaire_Prod-Résultats'!G25</f>
        <v>873.88869999999997</v>
      </c>
      <c r="F7" s="49">
        <f>-'Cultures de couverture'!E9+Saisies!B53*Saisies!B54+Saisies!B70</f>
        <v>-251.45999999999998</v>
      </c>
      <c r="G7" s="53">
        <f>'Intermédiaire_Prod-Résultats'!AE25</f>
        <v>1614.39382</v>
      </c>
      <c r="H7" s="54">
        <f>'Intermédiaire_Prod-Résultats'!AK25</f>
        <v>418.31010000000015</v>
      </c>
      <c r="I7" s="50">
        <f>'Intermédiaire_Prod-Résultats'!AN25</f>
        <v>-56.167599999999766</v>
      </c>
      <c r="J7" s="50">
        <f>'Intermédiaire_Prod-Résultats'!AH25</f>
        <v>873.88869999999997</v>
      </c>
      <c r="K7" s="50">
        <f>-'Cultures de couverture'!E9+Saisies!B53*Saisies!B54+Saisies!B70</f>
        <v>-251.45999999999998</v>
      </c>
      <c r="L7" s="50">
        <f>'Intermédiaire_Prod-Résultats'!BF25</f>
        <v>1614.39382</v>
      </c>
      <c r="M7" s="54">
        <f>'Intermédiaire_Prod-Résultats'!BL25</f>
        <v>418.31010000000015</v>
      </c>
      <c r="N7" s="50">
        <f>'Intermédiaire_Prod-Résultats'!BO25</f>
        <v>-56.167599999999766</v>
      </c>
      <c r="O7" s="50">
        <f>'Intermédiaire_Prod-Résultats'!BI25</f>
        <v>873.88869999999997</v>
      </c>
      <c r="P7" s="50">
        <f>-'Cultures de couverture'!E9+Saisies!B53*Saisies!B54+Saisies!B70</f>
        <v>-251.45999999999998</v>
      </c>
      <c r="Q7" s="46" t="s">
        <v>122</v>
      </c>
      <c r="R7" s="46" t="s">
        <v>122</v>
      </c>
      <c r="S7" s="46" t="s">
        <v>122</v>
      </c>
      <c r="T7" s="51">
        <f t="shared" si="0"/>
        <v>519.79300400000022</v>
      </c>
      <c r="V7" s="15" t="str">
        <f t="shared" si="1"/>
        <v>CHANVRE - ORGE - AVOINE - SARRASIN - ENGRAIS VERTS</v>
      </c>
      <c r="W7" s="52">
        <f>'Intermédiaire_Prod-Résultats'!E25</f>
        <v>1614.39382</v>
      </c>
      <c r="X7" s="53">
        <f>'Intermédiaire_Prod-Résultats'!K25</f>
        <v>418.31010000000015</v>
      </c>
      <c r="Y7" s="53">
        <f>'Intermédiaire_Prod-Résultats'!N25</f>
        <v>-56.167599999999766</v>
      </c>
      <c r="Z7" s="53">
        <f>'Intermédiaire_Prod-Résultats'!H25</f>
        <v>873.88869999999997</v>
      </c>
      <c r="AA7" s="49">
        <f>-'Cultures de couverture'!$E$9+(IF(Saisies!$C$53="",Saisies!$B$53,Saisies!$C$53)*IF(Saisies!$C$54="",Saisies!$B$54,Saisies!$C$54))+IF(Saisies!$C$70="",Saisies!$B$70,Saisies!$C$70)</f>
        <v>-251.45999999999998</v>
      </c>
      <c r="AB7" s="53">
        <f>'Intermédiaire_Prod-Résultats'!AF25</f>
        <v>1614.39382</v>
      </c>
      <c r="AC7" s="54">
        <f>'Intermédiaire_Prod-Résultats'!AL25</f>
        <v>418.31010000000015</v>
      </c>
      <c r="AD7" s="50">
        <f>'Intermédiaire_Prod-Résultats'!AO25</f>
        <v>-56.167599999999766</v>
      </c>
      <c r="AE7" s="50">
        <f>'Intermédiaire_Prod-Résultats'!AI25</f>
        <v>873.88869999999997</v>
      </c>
      <c r="AF7" s="50">
        <f>-'Cultures de couverture'!$E$9+(IF(Saisies!$C$53="",Saisies!$B$53,Saisies!$C$53)*IF(Saisies!$C$54="",Saisies!$B$54,Saisies!$C$54))+IF(Saisies!$C$70="",Saisies!$B$70,Saisies!$C$70)</f>
        <v>-251.45999999999998</v>
      </c>
      <c r="AG7" s="50">
        <f>'Intermédiaire_Prod-Résultats'!BG25</f>
        <v>1614.39382</v>
      </c>
      <c r="AH7" s="54">
        <f>'Intermédiaire_Prod-Résultats'!BM25</f>
        <v>418.31010000000015</v>
      </c>
      <c r="AI7" s="50">
        <f>'Intermédiaire_Prod-Résultats'!BP25</f>
        <v>-56.167599999999766</v>
      </c>
      <c r="AJ7" s="50">
        <f>'Intermédiaire_Prod-Résultats'!BJ25</f>
        <v>873.88869999999997</v>
      </c>
      <c r="AK7" s="50">
        <f>-'Cultures de couverture'!$E$9+(IF(Saisies!$C$53="",Saisies!$B$53,Saisies!$C$53)*IF(Saisies!$C$54="",Saisies!$B$54,Saisies!$C$54))+IF(Saisies!$C$70="",Saisies!$B$70,Saisies!$C$70)</f>
        <v>-251.45999999999998</v>
      </c>
      <c r="AL7" s="46" t="s">
        <v>122</v>
      </c>
      <c r="AM7" s="46" t="s">
        <v>122</v>
      </c>
      <c r="AN7" s="46" t="s">
        <v>122</v>
      </c>
      <c r="AO7" s="51">
        <f t="shared" si="2"/>
        <v>519.79300400000022</v>
      </c>
      <c r="AP7" s="3"/>
    </row>
    <row r="8" spans="1:42" x14ac:dyDescent="0.25">
      <c r="A8" s="16" t="s">
        <v>168</v>
      </c>
      <c r="B8" s="52">
        <f>'Intermédiaire_Prod-Résultats'!D25</f>
        <v>1614.39382</v>
      </c>
      <c r="C8" s="53">
        <f>'Intermédiaire_Prod-Résultats'!V25</f>
        <v>329.62939999999981</v>
      </c>
      <c r="D8" s="53">
        <f>'Intermédiaire_Prod-Résultats'!M25</f>
        <v>-56.167599999999766</v>
      </c>
      <c r="E8" s="53">
        <f>'Intermédiaire_Prod-Résultats'!G25</f>
        <v>873.88869999999997</v>
      </c>
      <c r="F8" s="49">
        <f>-'Cultures de couverture'!E9+Saisies!B53*Saisies!B54+Saisies!B70</f>
        <v>-251.45999999999998</v>
      </c>
      <c r="G8" s="53">
        <f>'Intermédiaire_Prod-Résultats'!AE25</f>
        <v>1614.39382</v>
      </c>
      <c r="H8" s="54">
        <f>'Intermédiaire_Prod-Résultats'!AW25</f>
        <v>329.62939999999981</v>
      </c>
      <c r="I8" s="50">
        <f>'Intermédiaire_Prod-Résultats'!AN25</f>
        <v>-56.167599999999766</v>
      </c>
      <c r="J8" s="50">
        <f>'Intermédiaire_Prod-Résultats'!AH25</f>
        <v>873.88869999999997</v>
      </c>
      <c r="K8" s="50">
        <f>-'Cultures de couverture'!E9+Saisies!B53*Saisies!B54+Saisies!B70</f>
        <v>-251.45999999999998</v>
      </c>
      <c r="L8" s="50">
        <f>'Intermédiaire_Prod-Résultats'!BF25</f>
        <v>1614.39382</v>
      </c>
      <c r="M8" s="54">
        <f>'Intermédiaire_Prod-Résultats'!BX25</f>
        <v>329.62939999999981</v>
      </c>
      <c r="N8" s="50">
        <f>'Intermédiaire_Prod-Résultats'!BO25</f>
        <v>-56.167599999999766</v>
      </c>
      <c r="O8" s="50">
        <f>'Intermédiaire_Prod-Résultats'!BI25</f>
        <v>873.88869999999997</v>
      </c>
      <c r="P8" s="50">
        <f>-'Cultures de couverture'!E9+Saisies!B53*Saisies!B54+Saisies!B70</f>
        <v>-251.45999999999998</v>
      </c>
      <c r="Q8" s="46" t="s">
        <v>122</v>
      </c>
      <c r="R8" s="46" t="s">
        <v>122</v>
      </c>
      <c r="S8" s="46" t="s">
        <v>122</v>
      </c>
      <c r="T8" s="51">
        <f t="shared" si="0"/>
        <v>502.05686400000008</v>
      </c>
      <c r="V8" s="15" t="str">
        <f t="shared" si="1"/>
        <v>CHANVRE - SEIGLE - AVOINE - SARRASIN - ENGRAIS VERTS</v>
      </c>
      <c r="W8" s="52">
        <f>'Intermédiaire_Prod-Résultats'!E25</f>
        <v>1614.39382</v>
      </c>
      <c r="X8" s="53">
        <f>'Intermédiaire_Prod-Résultats'!W25</f>
        <v>329.62939999999981</v>
      </c>
      <c r="Y8" s="53">
        <f>'Intermédiaire_Prod-Résultats'!N25</f>
        <v>-56.167599999999766</v>
      </c>
      <c r="Z8" s="53">
        <f>'Intermédiaire_Prod-Résultats'!H25</f>
        <v>873.88869999999997</v>
      </c>
      <c r="AA8" s="49">
        <f>-'Cultures de couverture'!$E$9+(IF(Saisies!$C$53="",Saisies!$B$53,Saisies!$C$53)*IF(Saisies!$C$54="",Saisies!$B$54,Saisies!$C$54))+IF(Saisies!$C$70="",Saisies!$B$70,Saisies!$C$70)</f>
        <v>-251.45999999999998</v>
      </c>
      <c r="AB8" s="53">
        <f>'Intermédiaire_Prod-Résultats'!AF25</f>
        <v>1614.39382</v>
      </c>
      <c r="AC8" s="54">
        <f>'Intermédiaire_Prod-Résultats'!AX25</f>
        <v>329.62939999999981</v>
      </c>
      <c r="AD8" s="50">
        <f>'Intermédiaire_Prod-Résultats'!AO25</f>
        <v>-56.167599999999766</v>
      </c>
      <c r="AE8" s="50">
        <f>'Intermédiaire_Prod-Résultats'!AI25</f>
        <v>873.88869999999997</v>
      </c>
      <c r="AF8" s="50">
        <f>-'Cultures de couverture'!$E$9+(IF(Saisies!$C$53="",Saisies!$B$53,Saisies!$C$53)*IF(Saisies!$C$54="",Saisies!$B$54,Saisies!$C$54))+IF(Saisies!$C$70="",Saisies!$B$70,Saisies!$C$70)</f>
        <v>-251.45999999999998</v>
      </c>
      <c r="AG8" s="50">
        <f>'Intermédiaire_Prod-Résultats'!BG25</f>
        <v>1614.39382</v>
      </c>
      <c r="AH8" s="54">
        <f>'Intermédiaire_Prod-Résultats'!BY25</f>
        <v>329.62939999999981</v>
      </c>
      <c r="AI8" s="50">
        <f>'Intermédiaire_Prod-Résultats'!BP25</f>
        <v>-56.167599999999766</v>
      </c>
      <c r="AJ8" s="50">
        <f>'Intermédiaire_Prod-Résultats'!BJ25</f>
        <v>873.88869999999997</v>
      </c>
      <c r="AK8" s="50">
        <f>-'Cultures de couverture'!$E$9+(IF(Saisies!$C$53="",Saisies!$B$53,Saisies!$C$53)*IF(Saisies!$C$54="",Saisies!$B$54,Saisies!$C$54))+IF(Saisies!$C$70="",Saisies!$B$70,Saisies!$C$70)</f>
        <v>-251.45999999999998</v>
      </c>
      <c r="AL8" s="46" t="s">
        <v>122</v>
      </c>
      <c r="AM8" s="46" t="s">
        <v>122</v>
      </c>
      <c r="AN8" s="46" t="s">
        <v>122</v>
      </c>
      <c r="AO8" s="51">
        <f t="shared" si="2"/>
        <v>502.05686400000008</v>
      </c>
      <c r="AP8" s="3"/>
    </row>
    <row r="9" spans="1:42" x14ac:dyDescent="0.25">
      <c r="A9" s="16" t="s">
        <v>169</v>
      </c>
      <c r="B9" s="52">
        <f>'Intermédiaire_Prod-Résultats'!D25</f>
        <v>1614.39382</v>
      </c>
      <c r="C9" s="53">
        <f>'Intermédiaire_Prod-Résultats'!Y25</f>
        <v>1275.0663</v>
      </c>
      <c r="D9" s="53">
        <f>'Intermédiaire_Prod-Résultats'!M25</f>
        <v>-56.167599999999766</v>
      </c>
      <c r="E9" s="53">
        <f>'Intermédiaire_Prod-Résultats'!G25</f>
        <v>873.88869999999997</v>
      </c>
      <c r="F9" s="49">
        <f>-'Cultures de couverture'!E9+Saisies!B53*Saisies!B54+Saisies!B70</f>
        <v>-251.45999999999998</v>
      </c>
      <c r="G9" s="53">
        <f>'Intermédiaire_Prod-Résultats'!AE25</f>
        <v>1614.39382</v>
      </c>
      <c r="H9" s="54">
        <f>'Intermédiaire_Prod-Résultats'!AZ25</f>
        <v>1275.0663</v>
      </c>
      <c r="I9" s="50">
        <f>'Intermédiaire_Prod-Résultats'!AN25</f>
        <v>-56.167599999999766</v>
      </c>
      <c r="J9" s="50">
        <f>'Intermédiaire_Prod-Résultats'!AH25</f>
        <v>873.88869999999997</v>
      </c>
      <c r="K9" s="50">
        <f>-'Cultures de couverture'!E9+Saisies!B53*Saisies!B54+Saisies!B70</f>
        <v>-251.45999999999998</v>
      </c>
      <c r="L9" s="50">
        <f>'Intermédiaire_Prod-Résultats'!BF25</f>
        <v>1614.39382</v>
      </c>
      <c r="M9" s="54">
        <f>'Intermédiaire_Prod-Résultats'!CA25</f>
        <v>1275.0663</v>
      </c>
      <c r="N9" s="50">
        <f>'Intermédiaire_Prod-Résultats'!BO25</f>
        <v>-56.167599999999766</v>
      </c>
      <c r="O9" s="50">
        <f>'Intermédiaire_Prod-Résultats'!BI25</f>
        <v>873.88869999999997</v>
      </c>
      <c r="P9" s="50">
        <f>-'Cultures de couverture'!E9+Saisies!B53*Saisies!B54+Saisies!B70</f>
        <v>-251.45999999999998</v>
      </c>
      <c r="Q9" s="46" t="s">
        <v>122</v>
      </c>
      <c r="R9" s="46" t="s">
        <v>122</v>
      </c>
      <c r="S9" s="46" t="s">
        <v>122</v>
      </c>
      <c r="T9" s="51">
        <f t="shared" si="0"/>
        <v>691.14424400000019</v>
      </c>
      <c r="V9" s="15" t="str">
        <f t="shared" si="1"/>
        <v>CHANVRE - SEIGLE HYBRIDE D'AUTOMNE - AVOINE - SARRASIN - ENGRAIS VERTS</v>
      </c>
      <c r="W9" s="52">
        <f>'Intermédiaire_Prod-Résultats'!E25</f>
        <v>1614.39382</v>
      </c>
      <c r="X9" s="53">
        <f>'Intermédiaire_Prod-Résultats'!Z25</f>
        <v>1275.0663</v>
      </c>
      <c r="Y9" s="53">
        <f>'Intermédiaire_Prod-Résultats'!N25</f>
        <v>-56.167599999999766</v>
      </c>
      <c r="Z9" s="53">
        <f>'Intermédiaire_Prod-Résultats'!H25</f>
        <v>873.88869999999997</v>
      </c>
      <c r="AA9" s="49">
        <f>-'Cultures de couverture'!$E$9+(IF(Saisies!$C$53="",Saisies!$B$53,Saisies!$C$53)*IF(Saisies!$C$54="",Saisies!$B$54,Saisies!$C$54))+IF(Saisies!$C$70="",Saisies!$B$70,Saisies!$C$70)</f>
        <v>-251.45999999999998</v>
      </c>
      <c r="AB9" s="53">
        <f>'Intermédiaire_Prod-Résultats'!AF25</f>
        <v>1614.39382</v>
      </c>
      <c r="AC9" s="54">
        <f>'Intermédiaire_Prod-Résultats'!BA25</f>
        <v>1275.0663</v>
      </c>
      <c r="AD9" s="50">
        <f>'Intermédiaire_Prod-Résultats'!AO25</f>
        <v>-56.167599999999766</v>
      </c>
      <c r="AE9" s="50">
        <f>'Intermédiaire_Prod-Résultats'!AI25</f>
        <v>873.88869999999997</v>
      </c>
      <c r="AF9" s="50">
        <f>-'Cultures de couverture'!$E$9+(IF(Saisies!$C$53="",Saisies!$B$53,Saisies!$C$53)*IF(Saisies!$C$54="",Saisies!$B$54,Saisies!$C$54))+IF(Saisies!$C$70="",Saisies!$B$70,Saisies!$C$70)</f>
        <v>-251.45999999999998</v>
      </c>
      <c r="AG9" s="50">
        <f>'Intermédiaire_Prod-Résultats'!BG25</f>
        <v>1614.39382</v>
      </c>
      <c r="AH9" s="54">
        <f>'Intermédiaire_Prod-Résultats'!CB25</f>
        <v>1275.0663</v>
      </c>
      <c r="AI9" s="50">
        <f>'Intermédiaire_Prod-Résultats'!BP25</f>
        <v>-56.167599999999766</v>
      </c>
      <c r="AJ9" s="50">
        <f>'Intermédiaire_Prod-Résultats'!BJ25</f>
        <v>873.88869999999997</v>
      </c>
      <c r="AK9" s="50">
        <f>-'Cultures de couverture'!$E$9+(IF(Saisies!$C$53="",Saisies!$B$53,Saisies!$C$53)*IF(Saisies!$C$54="",Saisies!$B$54,Saisies!$C$54))+IF(Saisies!$C$70="",Saisies!$B$70,Saisies!$C$70)</f>
        <v>-251.45999999999998</v>
      </c>
      <c r="AL9" s="46" t="s">
        <v>122</v>
      </c>
      <c r="AM9" s="46" t="s">
        <v>122</v>
      </c>
      <c r="AN9" s="46" t="s">
        <v>122</v>
      </c>
      <c r="AO9" s="51">
        <f t="shared" si="2"/>
        <v>691.14424400000019</v>
      </c>
      <c r="AP9" s="3"/>
    </row>
    <row r="10" spans="1:42" x14ac:dyDescent="0.25">
      <c r="A10" s="16" t="s">
        <v>175</v>
      </c>
      <c r="B10" s="52">
        <f>'Intermédiaire_Prod-Résultats'!S25</f>
        <v>576.70569999999998</v>
      </c>
      <c r="C10" s="53">
        <f>'Intermédiaire_Prod-Résultats'!M25</f>
        <v>-56.167599999999766</v>
      </c>
      <c r="D10" s="53">
        <f>'Intermédiaire_Prod-Résultats'!S25</f>
        <v>576.70569999999998</v>
      </c>
      <c r="E10" s="53">
        <f>'Intermédiaire_Prod-Résultats'!AB25</f>
        <v>8.8187000000000353</v>
      </c>
      <c r="F10" s="53">
        <f>'Intermédiaire_Prod-Résultats'!AB25</f>
        <v>8.8187000000000353</v>
      </c>
      <c r="G10" s="53">
        <f>'Intermédiaire_Prod-Résultats'!AT25</f>
        <v>576.70569999999998</v>
      </c>
      <c r="H10" s="54">
        <f>'Intermédiaire_Prod-Résultats'!AN25</f>
        <v>-56.167599999999766</v>
      </c>
      <c r="I10" s="54">
        <f>'Intermédiaire_Prod-Résultats'!AT25</f>
        <v>576.70569999999998</v>
      </c>
      <c r="J10" s="54">
        <f>'Intermédiaire_Prod-Résultats'!BC25</f>
        <v>26.318700000000035</v>
      </c>
      <c r="K10" s="54">
        <f>'Intermédiaire_Prod-Résultats'!BC25</f>
        <v>26.318700000000035</v>
      </c>
      <c r="L10" s="54">
        <f>'Intermédiaire_Prod-Résultats'!BU25</f>
        <v>576.70569999999998</v>
      </c>
      <c r="M10" s="54">
        <f>'Intermédiaire_Prod-Résultats'!BO25</f>
        <v>-56.167599999999766</v>
      </c>
      <c r="N10" s="55">
        <f>'Intermédiaire_Prod-Résultats'!BU25</f>
        <v>576.70569999999998</v>
      </c>
      <c r="O10" s="55">
        <f>'Intermédiaire_Prod-Résultats'!CD25</f>
        <v>43.818700000000035</v>
      </c>
      <c r="P10" s="55">
        <f>'Intermédiaire_Prod-Résultats'!CD25</f>
        <v>43.818700000000035</v>
      </c>
      <c r="Q10" s="46" t="s">
        <v>122</v>
      </c>
      <c r="R10" s="46" t="s">
        <v>122</v>
      </c>
      <c r="S10" s="46" t="s">
        <v>122</v>
      </c>
      <c r="T10" s="51">
        <f t="shared" si="0"/>
        <v>229.97624000000002</v>
      </c>
      <c r="V10" s="15" t="str">
        <f t="shared" si="1"/>
        <v>BLÉ DE PRINTEMPS PANIFIABLE - AVOINE - BLÉ DE PRINTEMPS PANIFIABLE - PRAIRIE (2 ANS)</v>
      </c>
      <c r="W10" s="52">
        <f>'Intermédiaire_Prod-Résultats'!T25</f>
        <v>576.70569999999998</v>
      </c>
      <c r="X10" s="53">
        <f>'Intermédiaire_Prod-Résultats'!N25</f>
        <v>-56.167599999999766</v>
      </c>
      <c r="Y10" s="53">
        <f>'Intermédiaire_Prod-Résultats'!T25</f>
        <v>576.70569999999998</v>
      </c>
      <c r="Z10" s="53">
        <f>'Intermédiaire_Prod-Résultats'!AC25</f>
        <v>8.8187000000000353</v>
      </c>
      <c r="AA10" s="53">
        <f>'Intermédiaire_Prod-Résultats'!AC25</f>
        <v>8.8187000000000353</v>
      </c>
      <c r="AB10" s="53">
        <f>'Intermédiaire_Prod-Résultats'!AU25</f>
        <v>576.70569999999998</v>
      </c>
      <c r="AC10" s="54">
        <f>'Intermédiaire_Prod-Résultats'!AO25</f>
        <v>-56.167599999999766</v>
      </c>
      <c r="AD10" s="54">
        <f>'Intermédiaire_Prod-Résultats'!AU25</f>
        <v>576.70569999999998</v>
      </c>
      <c r="AE10" s="54">
        <f>'Intermédiaire_Prod-Résultats'!BD25</f>
        <v>26.318700000000035</v>
      </c>
      <c r="AF10" s="54">
        <f>'Intermédiaire_Prod-Résultats'!BD25</f>
        <v>26.318700000000035</v>
      </c>
      <c r="AG10" s="54">
        <f>'Intermédiaire_Prod-Résultats'!BV25</f>
        <v>576.70569999999998</v>
      </c>
      <c r="AH10" s="54">
        <f>'Intermédiaire_Prod-Résultats'!BP25</f>
        <v>-56.167599999999766</v>
      </c>
      <c r="AI10" s="55">
        <f>'Intermédiaire_Prod-Résultats'!BV25</f>
        <v>576.70569999999998</v>
      </c>
      <c r="AJ10" s="55">
        <f>'Intermédiaire_Prod-Résultats'!CE25</f>
        <v>43.818700000000035</v>
      </c>
      <c r="AK10" s="55">
        <f>'Intermédiaire_Prod-Résultats'!CE25</f>
        <v>43.818700000000035</v>
      </c>
      <c r="AL10" s="46" t="s">
        <v>122</v>
      </c>
      <c r="AM10" s="46" t="s">
        <v>122</v>
      </c>
      <c r="AN10" s="46" t="s">
        <v>122</v>
      </c>
      <c r="AO10" s="51">
        <f t="shared" si="2"/>
        <v>229.97624000000002</v>
      </c>
      <c r="AP10" s="3"/>
    </row>
    <row r="11" spans="1:42" x14ac:dyDescent="0.25">
      <c r="A11" s="16" t="s">
        <v>176</v>
      </c>
      <c r="B11" s="52">
        <f>'Intermédiaire_Prod-Résultats'!P25</f>
        <v>991.79750899999976</v>
      </c>
      <c r="C11" s="53">
        <f>'Intermédiaire_Prod-Résultats'!M25</f>
        <v>-56.167599999999766</v>
      </c>
      <c r="D11" s="53">
        <f>'Intermédiaire_Prod-Résultats'!S25</f>
        <v>576.70569999999998</v>
      </c>
      <c r="E11" s="53">
        <f>'Intermédiaire_Prod-Résultats'!AB25</f>
        <v>8.8187000000000353</v>
      </c>
      <c r="F11" s="53">
        <f>'Intermédiaire_Prod-Résultats'!AB25</f>
        <v>8.8187000000000353</v>
      </c>
      <c r="G11" s="53">
        <f>'Intermédiaire_Prod-Résultats'!AQ25</f>
        <v>991.79750899999976</v>
      </c>
      <c r="H11" s="54">
        <f>'Intermédiaire_Prod-Résultats'!AN25</f>
        <v>-56.167599999999766</v>
      </c>
      <c r="I11" s="54">
        <f>'Intermédiaire_Prod-Résultats'!AT25</f>
        <v>576.70569999999998</v>
      </c>
      <c r="J11" s="54">
        <f>'Intermédiaire_Prod-Résultats'!BC25</f>
        <v>26.318700000000035</v>
      </c>
      <c r="K11" s="54">
        <f>'Intermédiaire_Prod-Résultats'!BC25</f>
        <v>26.318700000000035</v>
      </c>
      <c r="L11" s="54">
        <f>'Intermédiaire_Prod-Résultats'!BR25</f>
        <v>991.79750899999976</v>
      </c>
      <c r="M11" s="54">
        <f>'Intermédiaire_Prod-Résultats'!BO25</f>
        <v>-56.167599999999766</v>
      </c>
      <c r="N11" s="55">
        <f>'Intermédiaire_Prod-Résultats'!BU25</f>
        <v>576.70569999999998</v>
      </c>
      <c r="O11" s="55">
        <f>'Intermédiaire_Prod-Résultats'!CD25</f>
        <v>43.818700000000035</v>
      </c>
      <c r="P11" s="55">
        <f>'Intermédiaire_Prod-Résultats'!CD25</f>
        <v>43.818700000000035</v>
      </c>
      <c r="Q11" s="56" t="s">
        <v>122</v>
      </c>
      <c r="R11" s="56" t="s">
        <v>122</v>
      </c>
      <c r="S11" s="56" t="s">
        <v>122</v>
      </c>
      <c r="T11" s="51">
        <f t="shared" si="0"/>
        <v>312.9946018</v>
      </c>
      <c r="V11" s="15" t="str">
        <f t="shared" si="1"/>
        <v>BLÉ D'AUTOMNE PANIFIABLE - AVOINE - BLÉ DE PRINTEMPS PANIFIABLE- PRAIRIES (2 ANS)</v>
      </c>
      <c r="W11" s="52">
        <f>'Intermédiaire_Prod-Résultats'!Q25</f>
        <v>991.79750899999976</v>
      </c>
      <c r="X11" s="53">
        <f>'Intermédiaire_Prod-Résultats'!N25</f>
        <v>-56.167599999999766</v>
      </c>
      <c r="Y11" s="53">
        <f>'Intermédiaire_Prod-Résultats'!T25</f>
        <v>576.70569999999998</v>
      </c>
      <c r="Z11" s="53">
        <f>'Intermédiaire_Prod-Résultats'!AC25</f>
        <v>8.8187000000000353</v>
      </c>
      <c r="AA11" s="53">
        <f>'Intermédiaire_Prod-Résultats'!AC25</f>
        <v>8.8187000000000353</v>
      </c>
      <c r="AB11" s="53">
        <f>'Intermédiaire_Prod-Résultats'!AR25</f>
        <v>991.79750899999976</v>
      </c>
      <c r="AC11" s="54">
        <f>'Intermédiaire_Prod-Résultats'!AO25</f>
        <v>-56.167599999999766</v>
      </c>
      <c r="AD11" s="54">
        <f>'Intermédiaire_Prod-Résultats'!AU25</f>
        <v>576.70569999999998</v>
      </c>
      <c r="AE11" s="54">
        <f>'Intermédiaire_Prod-Résultats'!BD25</f>
        <v>26.318700000000035</v>
      </c>
      <c r="AF11" s="54">
        <f>'Intermédiaire_Prod-Résultats'!BD25</f>
        <v>26.318700000000035</v>
      </c>
      <c r="AG11" s="54">
        <f>'Intermédiaire_Prod-Résultats'!BS25</f>
        <v>991.79750899999976</v>
      </c>
      <c r="AH11" s="54">
        <f>'Intermédiaire_Prod-Résultats'!BP25</f>
        <v>-56.167599999999766</v>
      </c>
      <c r="AI11" s="55">
        <f>'Intermédiaire_Prod-Résultats'!BV25</f>
        <v>576.70569999999998</v>
      </c>
      <c r="AJ11" s="55">
        <f>'Intermédiaire_Prod-Résultats'!CE25</f>
        <v>43.818700000000035</v>
      </c>
      <c r="AK11" s="55">
        <f>'Intermédiaire_Prod-Résultats'!CE25</f>
        <v>43.818700000000035</v>
      </c>
      <c r="AL11" s="56" t="s">
        <v>122</v>
      </c>
      <c r="AM11" s="56" t="s">
        <v>122</v>
      </c>
      <c r="AN11" s="56" t="s">
        <v>122</v>
      </c>
      <c r="AO11" s="51">
        <f t="shared" si="2"/>
        <v>312.9946018</v>
      </c>
      <c r="AP11" s="3"/>
    </row>
    <row r="12" spans="1:42" x14ac:dyDescent="0.25">
      <c r="A12" s="16" t="s">
        <v>177</v>
      </c>
      <c r="B12" s="52">
        <f>'Intermédiaire_Prod-Résultats'!J25</f>
        <v>418.31010000000015</v>
      </c>
      <c r="C12" s="53">
        <f>'Intermédiaire_Prod-Résultats'!M25</f>
        <v>-56.167599999999766</v>
      </c>
      <c r="D12" s="53">
        <f>'Intermédiaire_Prod-Résultats'!S25</f>
        <v>576.70569999999998</v>
      </c>
      <c r="E12" s="53">
        <f>'Intermédiaire_Prod-Résultats'!AB25</f>
        <v>8.8187000000000353</v>
      </c>
      <c r="F12" s="53">
        <f>'Intermédiaire_Prod-Résultats'!AB25</f>
        <v>8.8187000000000353</v>
      </c>
      <c r="G12" s="53">
        <f>'Intermédiaire_Prod-Résultats'!AK25</f>
        <v>418.31010000000015</v>
      </c>
      <c r="H12" s="54">
        <f>'Intermédiaire_Prod-Résultats'!AN25</f>
        <v>-56.167599999999766</v>
      </c>
      <c r="I12" s="54">
        <f>'Intermédiaire_Prod-Résultats'!AT25</f>
        <v>576.70569999999998</v>
      </c>
      <c r="J12" s="54">
        <f>'Intermédiaire_Prod-Résultats'!BC25</f>
        <v>26.318700000000035</v>
      </c>
      <c r="K12" s="54">
        <f>'Intermédiaire_Prod-Résultats'!BC25</f>
        <v>26.318700000000035</v>
      </c>
      <c r="L12" s="54">
        <f>'Intermédiaire_Prod-Résultats'!BL25</f>
        <v>418.31010000000015</v>
      </c>
      <c r="M12" s="54">
        <f>'Intermédiaire_Prod-Résultats'!BO25</f>
        <v>-56.167599999999766</v>
      </c>
      <c r="N12" s="55">
        <f>'Intermédiaire_Prod-Résultats'!BU25</f>
        <v>576.70569999999998</v>
      </c>
      <c r="O12" s="55">
        <f>'Intermédiaire_Prod-Résultats'!CD25</f>
        <v>43.818700000000035</v>
      </c>
      <c r="P12" s="55">
        <f>'Intermédiaire_Prod-Résultats'!CD25</f>
        <v>43.818700000000035</v>
      </c>
      <c r="Q12" s="46" t="s">
        <v>122</v>
      </c>
      <c r="R12" s="46" t="s">
        <v>122</v>
      </c>
      <c r="S12" s="46" t="s">
        <v>122</v>
      </c>
      <c r="T12" s="51">
        <f t="shared" si="0"/>
        <v>198.29712000000006</v>
      </c>
      <c r="V12" s="15" t="str">
        <f t="shared" si="1"/>
        <v>ORGE - AVOINE - BLÉ DE PRINTEMPS PANIFIABLE - PRAIRIES (2 ANS)</v>
      </c>
      <c r="W12" s="52">
        <f>'Intermédiaire_Prod-Résultats'!K25</f>
        <v>418.31010000000015</v>
      </c>
      <c r="X12" s="53">
        <f>'Intermédiaire_Prod-Résultats'!N25</f>
        <v>-56.167599999999766</v>
      </c>
      <c r="Y12" s="53">
        <f>'Intermédiaire_Prod-Résultats'!T25</f>
        <v>576.70569999999998</v>
      </c>
      <c r="Z12" s="53">
        <f>'Intermédiaire_Prod-Résultats'!AC25</f>
        <v>8.8187000000000353</v>
      </c>
      <c r="AA12" s="53">
        <f>'Intermédiaire_Prod-Résultats'!AC25</f>
        <v>8.8187000000000353</v>
      </c>
      <c r="AB12" s="53">
        <f>'Intermédiaire_Prod-Résultats'!AL25</f>
        <v>418.31010000000015</v>
      </c>
      <c r="AC12" s="54">
        <f>'Intermédiaire_Prod-Résultats'!AO25</f>
        <v>-56.167599999999766</v>
      </c>
      <c r="AD12" s="54">
        <f>'Intermédiaire_Prod-Résultats'!AU25</f>
        <v>576.70569999999998</v>
      </c>
      <c r="AE12" s="54">
        <f>'Intermédiaire_Prod-Résultats'!BD25</f>
        <v>26.318700000000035</v>
      </c>
      <c r="AF12" s="54">
        <f>'Intermédiaire_Prod-Résultats'!BD25</f>
        <v>26.318700000000035</v>
      </c>
      <c r="AG12" s="54">
        <f>'Intermédiaire_Prod-Résultats'!BM25</f>
        <v>418.31010000000015</v>
      </c>
      <c r="AH12" s="54">
        <f>'Intermédiaire_Prod-Résultats'!BP25</f>
        <v>-56.167599999999766</v>
      </c>
      <c r="AI12" s="55">
        <f>'Intermédiaire_Prod-Résultats'!BV25</f>
        <v>576.70569999999998</v>
      </c>
      <c r="AJ12" s="55">
        <f>'Intermédiaire_Prod-Résultats'!CE25</f>
        <v>43.818700000000035</v>
      </c>
      <c r="AK12" s="55">
        <f>'Intermédiaire_Prod-Résultats'!CE25</f>
        <v>43.818700000000035</v>
      </c>
      <c r="AL12" s="46" t="s">
        <v>122</v>
      </c>
      <c r="AM12" s="46" t="s">
        <v>122</v>
      </c>
      <c r="AN12" s="46" t="s">
        <v>122</v>
      </c>
      <c r="AO12" s="51">
        <f t="shared" si="2"/>
        <v>198.29712000000006</v>
      </c>
      <c r="AP12" s="3"/>
    </row>
    <row r="13" spans="1:42" x14ac:dyDescent="0.25">
      <c r="A13" s="16" t="s">
        <v>178</v>
      </c>
      <c r="B13" s="52">
        <f>'Intermédiaire_Prod-Résultats'!V25</f>
        <v>329.62939999999981</v>
      </c>
      <c r="C13" s="53">
        <f>'Intermédiaire_Prod-Résultats'!M25</f>
        <v>-56.167599999999766</v>
      </c>
      <c r="D13" s="53">
        <f>'Intermédiaire_Prod-Résultats'!S25</f>
        <v>576.70569999999998</v>
      </c>
      <c r="E13" s="53">
        <f>'Intermédiaire_Prod-Résultats'!AB25</f>
        <v>8.8187000000000353</v>
      </c>
      <c r="F13" s="53">
        <f>'Intermédiaire_Prod-Résultats'!AB25</f>
        <v>8.8187000000000353</v>
      </c>
      <c r="G13" s="53">
        <f>'Intermédiaire_Prod-Résultats'!AW25</f>
        <v>329.62939999999981</v>
      </c>
      <c r="H13" s="54">
        <f>'Intermédiaire_Prod-Résultats'!AN25</f>
        <v>-56.167599999999766</v>
      </c>
      <c r="I13" s="54">
        <f>'Intermédiaire_Prod-Résultats'!AT25</f>
        <v>576.70569999999998</v>
      </c>
      <c r="J13" s="54">
        <f>'Intermédiaire_Prod-Résultats'!BC25</f>
        <v>26.318700000000035</v>
      </c>
      <c r="K13" s="54">
        <f>'Intermédiaire_Prod-Résultats'!BC25</f>
        <v>26.318700000000035</v>
      </c>
      <c r="L13" s="54">
        <f>'Intermédiaire_Prod-Résultats'!BX25</f>
        <v>329.62939999999981</v>
      </c>
      <c r="M13" s="54">
        <f>'Intermédiaire_Prod-Résultats'!BO25</f>
        <v>-56.167599999999766</v>
      </c>
      <c r="N13" s="55">
        <f>'Intermédiaire_Prod-Résultats'!BU25</f>
        <v>576.70569999999998</v>
      </c>
      <c r="O13" s="55">
        <f>'Intermédiaire_Prod-Résultats'!CD25</f>
        <v>43.818700000000035</v>
      </c>
      <c r="P13" s="55">
        <f>'Intermédiaire_Prod-Résultats'!CD25</f>
        <v>43.818700000000035</v>
      </c>
      <c r="Q13" s="46" t="s">
        <v>122</v>
      </c>
      <c r="R13" s="46" t="s">
        <v>122</v>
      </c>
      <c r="S13" s="46" t="s">
        <v>122</v>
      </c>
      <c r="T13" s="51">
        <f t="shared" si="0"/>
        <v>180.56098000000003</v>
      </c>
      <c r="V13" s="15" t="str">
        <f t="shared" si="1"/>
        <v>SEIGLE - AVOINE - BLÉ DE PRINTEMPS PANIFIABLE - PRAIRIES (2 ANS)</v>
      </c>
      <c r="W13" s="52">
        <f>'Intermédiaire_Prod-Résultats'!W25</f>
        <v>329.62939999999981</v>
      </c>
      <c r="X13" s="53">
        <f>'Intermédiaire_Prod-Résultats'!N25</f>
        <v>-56.167599999999766</v>
      </c>
      <c r="Y13" s="53">
        <f>'Intermédiaire_Prod-Résultats'!T25</f>
        <v>576.70569999999998</v>
      </c>
      <c r="Z13" s="53">
        <f>'Intermédiaire_Prod-Résultats'!AC25</f>
        <v>8.8187000000000353</v>
      </c>
      <c r="AA13" s="53">
        <f>'Intermédiaire_Prod-Résultats'!AC25</f>
        <v>8.8187000000000353</v>
      </c>
      <c r="AB13" s="53">
        <f>'Intermédiaire_Prod-Résultats'!AX25</f>
        <v>329.62939999999981</v>
      </c>
      <c r="AC13" s="54">
        <f>'Intermédiaire_Prod-Résultats'!AO25</f>
        <v>-56.167599999999766</v>
      </c>
      <c r="AD13" s="54">
        <f>'Intermédiaire_Prod-Résultats'!AU25</f>
        <v>576.70569999999998</v>
      </c>
      <c r="AE13" s="54">
        <f>'Intermédiaire_Prod-Résultats'!BD25</f>
        <v>26.318700000000035</v>
      </c>
      <c r="AF13" s="54">
        <f>'Intermédiaire_Prod-Résultats'!BD25</f>
        <v>26.318700000000035</v>
      </c>
      <c r="AG13" s="54">
        <f>'Intermédiaire_Prod-Résultats'!BY25</f>
        <v>329.62939999999981</v>
      </c>
      <c r="AH13" s="54">
        <f>'Intermédiaire_Prod-Résultats'!BP25</f>
        <v>-56.167599999999766</v>
      </c>
      <c r="AI13" s="55">
        <f>'Intermédiaire_Prod-Résultats'!BV25</f>
        <v>576.70569999999998</v>
      </c>
      <c r="AJ13" s="55">
        <f>'Intermédiaire_Prod-Résultats'!CE25</f>
        <v>43.818700000000035</v>
      </c>
      <c r="AK13" s="55">
        <f>'Intermédiaire_Prod-Résultats'!CE25</f>
        <v>43.818700000000035</v>
      </c>
      <c r="AL13" s="46" t="s">
        <v>122</v>
      </c>
      <c r="AM13" s="46" t="s">
        <v>122</v>
      </c>
      <c r="AN13" s="46" t="s">
        <v>122</v>
      </c>
      <c r="AO13" s="51">
        <f t="shared" si="2"/>
        <v>180.56098000000003</v>
      </c>
      <c r="AP13" s="3"/>
    </row>
    <row r="14" spans="1:42" x14ac:dyDescent="0.25">
      <c r="A14" s="16" t="s">
        <v>179</v>
      </c>
      <c r="B14" s="52">
        <f>'Intermédiaire_Prod-Résultats'!Y25</f>
        <v>1275.0663</v>
      </c>
      <c r="C14" s="53">
        <f>'Intermédiaire_Prod-Résultats'!M25</f>
        <v>-56.167599999999766</v>
      </c>
      <c r="D14" s="53">
        <f>'Intermédiaire_Prod-Résultats'!S25</f>
        <v>576.70569999999998</v>
      </c>
      <c r="E14" s="53">
        <f>'Intermédiaire_Prod-Résultats'!AB25</f>
        <v>8.8187000000000353</v>
      </c>
      <c r="F14" s="53">
        <f>'Intermédiaire_Prod-Résultats'!AB25</f>
        <v>8.8187000000000353</v>
      </c>
      <c r="G14" s="53">
        <f>'Intermédiaire_Prod-Résultats'!AZ25</f>
        <v>1275.0663</v>
      </c>
      <c r="H14" s="54">
        <f>'Intermédiaire_Prod-Résultats'!AN25</f>
        <v>-56.167599999999766</v>
      </c>
      <c r="I14" s="54">
        <f>'Intermédiaire_Prod-Résultats'!AT25</f>
        <v>576.70569999999998</v>
      </c>
      <c r="J14" s="54">
        <f>'Intermédiaire_Prod-Résultats'!BC25</f>
        <v>26.318700000000035</v>
      </c>
      <c r="K14" s="54">
        <f>'Intermédiaire_Prod-Résultats'!BC25</f>
        <v>26.318700000000035</v>
      </c>
      <c r="L14" s="54">
        <f>'Intermédiaire_Prod-Résultats'!CA25</f>
        <v>1275.0663</v>
      </c>
      <c r="M14" s="54">
        <f>'Intermédiaire_Prod-Résultats'!BO25</f>
        <v>-56.167599999999766</v>
      </c>
      <c r="N14" s="55">
        <f>'Intermédiaire_Prod-Résultats'!BU25</f>
        <v>576.70569999999998</v>
      </c>
      <c r="O14" s="55">
        <f>'Intermédiaire_Prod-Résultats'!CD25</f>
        <v>43.818700000000035</v>
      </c>
      <c r="P14" s="55">
        <f>'Intermédiaire_Prod-Résultats'!CD25</f>
        <v>43.818700000000035</v>
      </c>
      <c r="Q14" s="46" t="s">
        <v>122</v>
      </c>
      <c r="R14" s="46" t="s">
        <v>122</v>
      </c>
      <c r="S14" s="46" t="s">
        <v>122</v>
      </c>
      <c r="T14" s="51">
        <f t="shared" si="0"/>
        <v>369.64835999999997</v>
      </c>
      <c r="V14" s="15" t="str">
        <f t="shared" si="1"/>
        <v>SEIGLE HYBRIDE D'AUTOMNE- AVOINE - BLÉ DE PRINTEMPS PANIFIABLE - PRAIRIES (2 ANS)</v>
      </c>
      <c r="W14" s="52">
        <f>'Intermédiaire_Prod-Résultats'!Z25</f>
        <v>1275.0663</v>
      </c>
      <c r="X14" s="53">
        <f>'Intermédiaire_Prod-Résultats'!N25</f>
        <v>-56.167599999999766</v>
      </c>
      <c r="Y14" s="53">
        <f>'Intermédiaire_Prod-Résultats'!T25</f>
        <v>576.70569999999998</v>
      </c>
      <c r="Z14" s="53">
        <f>'Intermédiaire_Prod-Résultats'!AC25</f>
        <v>8.8187000000000353</v>
      </c>
      <c r="AA14" s="53">
        <f>'Intermédiaire_Prod-Résultats'!AC25</f>
        <v>8.8187000000000353</v>
      </c>
      <c r="AB14" s="53">
        <f>'Intermédiaire_Prod-Résultats'!BA25</f>
        <v>1275.0663</v>
      </c>
      <c r="AC14" s="54">
        <f>'Intermédiaire_Prod-Résultats'!AO25</f>
        <v>-56.167599999999766</v>
      </c>
      <c r="AD14" s="54">
        <f>'Intermédiaire_Prod-Résultats'!AU25</f>
        <v>576.70569999999998</v>
      </c>
      <c r="AE14" s="54">
        <f>'Intermédiaire_Prod-Résultats'!BD25</f>
        <v>26.318700000000035</v>
      </c>
      <c r="AF14" s="54">
        <f>'Intermédiaire_Prod-Résultats'!BD25</f>
        <v>26.318700000000035</v>
      </c>
      <c r="AG14" s="54">
        <f>'Intermédiaire_Prod-Résultats'!CB25</f>
        <v>1275.0663</v>
      </c>
      <c r="AH14" s="54">
        <f>'Intermédiaire_Prod-Résultats'!BP25</f>
        <v>-56.167599999999766</v>
      </c>
      <c r="AI14" s="55">
        <f>'Intermédiaire_Prod-Résultats'!BV25</f>
        <v>576.70569999999998</v>
      </c>
      <c r="AJ14" s="55">
        <f>'Intermédiaire_Prod-Résultats'!CE25</f>
        <v>43.818700000000035</v>
      </c>
      <c r="AK14" s="55">
        <f>'Intermédiaire_Prod-Résultats'!CE25</f>
        <v>43.818700000000035</v>
      </c>
      <c r="AL14" s="46" t="s">
        <v>122</v>
      </c>
      <c r="AM14" s="46" t="s">
        <v>122</v>
      </c>
      <c r="AN14" s="46" t="s">
        <v>122</v>
      </c>
      <c r="AO14" s="51">
        <f t="shared" si="2"/>
        <v>369.64835999999997</v>
      </c>
      <c r="AP14" s="3"/>
    </row>
    <row r="15" spans="1:42" x14ac:dyDescent="0.25">
      <c r="A15" s="16" t="s">
        <v>180</v>
      </c>
      <c r="B15" s="52">
        <f>'Intermédiaire_Prod-Résultats'!D25</f>
        <v>1614.39382</v>
      </c>
      <c r="C15" s="53">
        <f>'Intermédiaire_Prod-Résultats'!P25</f>
        <v>991.79750899999976</v>
      </c>
      <c r="D15" s="53">
        <f>'Intermédiaire_Prod-Résultats'!G25</f>
        <v>873.88869999999997</v>
      </c>
      <c r="E15" s="53">
        <f>'Intermédiaire_Prod-Résultats'!S25</f>
        <v>576.70569999999998</v>
      </c>
      <c r="F15" s="49">
        <f>'Intermédiaire_Prod-Résultats'!AB25</f>
        <v>8.8187000000000353</v>
      </c>
      <c r="G15" s="53">
        <f>'Intermédiaire_Prod-Résultats'!AB25</f>
        <v>8.8187000000000353</v>
      </c>
      <c r="H15" s="54">
        <f>'Intermédiaire_Prod-Résultats'!AE25</f>
        <v>1614.39382</v>
      </c>
      <c r="I15" s="50">
        <f>'Intermédiaire_Prod-Résultats'!AQ25</f>
        <v>991.79750899999976</v>
      </c>
      <c r="J15" s="50">
        <f>'Intermédiaire_Prod-Résultats'!AH25</f>
        <v>873.88869999999997</v>
      </c>
      <c r="K15" s="50">
        <f>'Intermédiaire_Prod-Résultats'!AT25</f>
        <v>576.70569999999998</v>
      </c>
      <c r="L15" s="50">
        <f>'Intermédiaire_Prod-Résultats'!BC25</f>
        <v>26.318700000000035</v>
      </c>
      <c r="M15" s="54">
        <f>'Intermédiaire_Prod-Résultats'!BC25</f>
        <v>26.318700000000035</v>
      </c>
      <c r="N15" s="50">
        <f>'Intermédiaire_Prod-Résultats'!BF25</f>
        <v>1614.39382</v>
      </c>
      <c r="O15" s="50">
        <f>'Intermédiaire_Prod-Résultats'!BR25</f>
        <v>991.79750899999976</v>
      </c>
      <c r="P15" s="50">
        <f>'Intermédiaire_Prod-Résultats'!BI25</f>
        <v>873.88869999999997</v>
      </c>
      <c r="Q15" s="55">
        <f>'Intermédiaire_Prod-Résultats'!BU25</f>
        <v>576.70569999999998</v>
      </c>
      <c r="R15" s="55">
        <f>'Intermédiaire_Prod-Résultats'!CD25</f>
        <v>43.818700000000035</v>
      </c>
      <c r="S15" s="55">
        <f>'Intermédiaire_Prod-Résultats'!CD25</f>
        <v>43.818700000000035</v>
      </c>
      <c r="T15" s="51">
        <f t="shared" si="0"/>
        <v>684.9038548333333</v>
      </c>
      <c r="V15" s="15" t="str">
        <f t="shared" si="1"/>
        <v>CHANVRE - BLÉ D'AUTOMNE PANIFIABLE - SARRASIN - BLÉ DE PRINTEMPS PANIFIABLE - PRAIRIES (2 ANS)</v>
      </c>
      <c r="W15" s="52">
        <f>'Intermédiaire_Prod-Résultats'!E25</f>
        <v>1614.39382</v>
      </c>
      <c r="X15" s="53">
        <f>'Intermédiaire_Prod-Résultats'!Q25</f>
        <v>991.79750899999976</v>
      </c>
      <c r="Y15" s="53">
        <f>'Intermédiaire_Prod-Résultats'!H25</f>
        <v>873.88869999999997</v>
      </c>
      <c r="Z15" s="53">
        <f>'Intermédiaire_Prod-Résultats'!T25</f>
        <v>576.70569999999998</v>
      </c>
      <c r="AA15" s="49">
        <f>'Intermédiaire_Prod-Résultats'!AC25</f>
        <v>8.8187000000000353</v>
      </c>
      <c r="AB15" s="53">
        <f>'Intermédiaire_Prod-Résultats'!AC25</f>
        <v>8.8187000000000353</v>
      </c>
      <c r="AC15" s="54">
        <f>'Intermédiaire_Prod-Résultats'!AF25</f>
        <v>1614.39382</v>
      </c>
      <c r="AD15" s="50">
        <f>'Intermédiaire_Prod-Résultats'!AR25</f>
        <v>991.79750899999976</v>
      </c>
      <c r="AE15" s="50">
        <f>'Intermédiaire_Prod-Résultats'!AI25</f>
        <v>873.88869999999997</v>
      </c>
      <c r="AF15" s="50">
        <f>'Intermédiaire_Prod-Résultats'!AU25</f>
        <v>576.70569999999998</v>
      </c>
      <c r="AG15" s="50">
        <f>'Intermédiaire_Prod-Résultats'!BD25</f>
        <v>26.318700000000035</v>
      </c>
      <c r="AH15" s="54">
        <f>'Intermédiaire_Prod-Résultats'!BD25</f>
        <v>26.318700000000035</v>
      </c>
      <c r="AI15" s="50">
        <f>'Intermédiaire_Prod-Résultats'!BG25</f>
        <v>1614.39382</v>
      </c>
      <c r="AJ15" s="50">
        <f>'Intermédiaire_Prod-Résultats'!BS25</f>
        <v>991.79750899999976</v>
      </c>
      <c r="AK15" s="50">
        <f>'Intermédiaire_Prod-Résultats'!BJ25</f>
        <v>873.88869999999997</v>
      </c>
      <c r="AL15" s="55">
        <f>'Intermédiaire_Prod-Résultats'!BV25</f>
        <v>576.70569999999998</v>
      </c>
      <c r="AM15" s="55">
        <f>'Intermédiaire_Prod-Résultats'!CE25</f>
        <v>43.818700000000035</v>
      </c>
      <c r="AN15" s="55">
        <f>'Intermédiaire_Prod-Résultats'!CE25</f>
        <v>43.818700000000035</v>
      </c>
      <c r="AO15" s="51">
        <f t="shared" si="2"/>
        <v>684.9038548333333</v>
      </c>
      <c r="AP15" s="3"/>
    </row>
    <row r="16" spans="1:42" x14ac:dyDescent="0.25">
      <c r="A16" s="16" t="s">
        <v>181</v>
      </c>
      <c r="B16" s="52">
        <f>'Intermédiaire_Prod-Résultats'!D25</f>
        <v>1614.39382</v>
      </c>
      <c r="C16" s="53">
        <f>'Intermédiaire_Prod-Résultats'!S25</f>
        <v>576.70569999999998</v>
      </c>
      <c r="D16" s="53">
        <f>'Intermédiaire_Prod-Résultats'!G25</f>
        <v>873.88869999999997</v>
      </c>
      <c r="E16" s="53">
        <f>'Intermédiaire_Prod-Résultats'!S25</f>
        <v>576.70569999999998</v>
      </c>
      <c r="F16" s="53">
        <f>'Intermédiaire_Prod-Résultats'!AB25</f>
        <v>8.8187000000000353</v>
      </c>
      <c r="G16" s="53">
        <f>'Intermédiaire_Prod-Résultats'!AB25</f>
        <v>8.8187000000000353</v>
      </c>
      <c r="H16" s="54">
        <f>'Intermédiaire_Prod-Résultats'!AE25</f>
        <v>1614.39382</v>
      </c>
      <c r="I16" s="54">
        <f>'Intermédiaire_Prod-Résultats'!AT25</f>
        <v>576.70569999999998</v>
      </c>
      <c r="J16" s="54">
        <f>'Intermédiaire_Prod-Résultats'!AH25</f>
        <v>873.88869999999997</v>
      </c>
      <c r="K16" s="54">
        <f>'Intermédiaire_Prod-Résultats'!AT25</f>
        <v>576.70569999999998</v>
      </c>
      <c r="L16" s="54">
        <f>'Intermédiaire_Prod-Résultats'!BC25</f>
        <v>26.318700000000035</v>
      </c>
      <c r="M16" s="54">
        <f>'Intermédiaire_Prod-Résultats'!BC25</f>
        <v>26.318700000000035</v>
      </c>
      <c r="N16" s="55">
        <f>'Intermédiaire_Prod-Résultats'!BF25</f>
        <v>1614.39382</v>
      </c>
      <c r="O16" s="55">
        <f>'Intermédiaire_Prod-Résultats'!BU25</f>
        <v>576.70569999999998</v>
      </c>
      <c r="P16" s="50">
        <f>'Intermédiaire_Prod-Résultats'!BI25</f>
        <v>873.88869999999997</v>
      </c>
      <c r="Q16" s="55">
        <f>'Intermédiaire_Prod-Résultats'!BU25</f>
        <v>576.70569999999998</v>
      </c>
      <c r="R16" s="55">
        <f>'Intermédiaire_Prod-Résultats'!CD25</f>
        <v>43.818700000000035</v>
      </c>
      <c r="S16" s="55">
        <f>'Intermédiaire_Prod-Résultats'!CD25</f>
        <v>43.818700000000035</v>
      </c>
      <c r="T16" s="51">
        <f t="shared" si="0"/>
        <v>615.72188666666659</v>
      </c>
      <c r="V16" s="15" t="str">
        <f t="shared" si="1"/>
        <v>CHANVRE - BLÉ DE PRINTEMPS PANIFIABLE - SARRASIN - BLÉ DE PRINTEMPS PANIFIABLE - PRAIRIES (2 ANS)</v>
      </c>
      <c r="W16" s="52">
        <f>'Intermédiaire_Prod-Résultats'!E25</f>
        <v>1614.39382</v>
      </c>
      <c r="X16" s="53">
        <f>'Intermédiaire_Prod-Résultats'!T25</f>
        <v>576.70569999999998</v>
      </c>
      <c r="Y16" s="53">
        <f>'Intermédiaire_Prod-Résultats'!H25</f>
        <v>873.88869999999997</v>
      </c>
      <c r="Z16" s="53">
        <f>'Intermédiaire_Prod-Résultats'!T25</f>
        <v>576.70569999999998</v>
      </c>
      <c r="AA16" s="53">
        <f>'Intermédiaire_Prod-Résultats'!AC25</f>
        <v>8.8187000000000353</v>
      </c>
      <c r="AB16" s="53">
        <f>'Intermédiaire_Prod-Résultats'!AC25</f>
        <v>8.8187000000000353</v>
      </c>
      <c r="AC16" s="54">
        <f>'Intermédiaire_Prod-Résultats'!AF25</f>
        <v>1614.39382</v>
      </c>
      <c r="AD16" s="54">
        <f>'Intermédiaire_Prod-Résultats'!AU25</f>
        <v>576.70569999999998</v>
      </c>
      <c r="AE16" s="54">
        <f>'Intermédiaire_Prod-Résultats'!AI25</f>
        <v>873.88869999999997</v>
      </c>
      <c r="AF16" s="54">
        <f>'Intermédiaire_Prod-Résultats'!AU25</f>
        <v>576.70569999999998</v>
      </c>
      <c r="AG16" s="54">
        <f>'Intermédiaire_Prod-Résultats'!BD25</f>
        <v>26.318700000000035</v>
      </c>
      <c r="AH16" s="54">
        <f>'Intermédiaire_Prod-Résultats'!BD25</f>
        <v>26.318700000000035</v>
      </c>
      <c r="AI16" s="55">
        <f>'Intermédiaire_Prod-Résultats'!BG25</f>
        <v>1614.39382</v>
      </c>
      <c r="AJ16" s="55">
        <f>'Intermédiaire_Prod-Résultats'!BV25</f>
        <v>576.70569999999998</v>
      </c>
      <c r="AK16" s="50">
        <f>'Intermédiaire_Prod-Résultats'!BJ25</f>
        <v>873.88869999999997</v>
      </c>
      <c r="AL16" s="55">
        <f>'Intermédiaire_Prod-Résultats'!BV25</f>
        <v>576.70569999999998</v>
      </c>
      <c r="AM16" s="55">
        <f>'Intermédiaire_Prod-Résultats'!CE25</f>
        <v>43.818700000000035</v>
      </c>
      <c r="AN16" s="55">
        <f>'Intermédiaire_Prod-Résultats'!CE25</f>
        <v>43.818700000000035</v>
      </c>
      <c r="AO16" s="51">
        <f t="shared" si="2"/>
        <v>615.72188666666659</v>
      </c>
      <c r="AP16" s="3"/>
    </row>
    <row r="17" spans="1:42" x14ac:dyDescent="0.25">
      <c r="A17" s="16" t="s">
        <v>182</v>
      </c>
      <c r="B17" s="52">
        <f>'Intermédiaire_Prod-Résultats'!D25</f>
        <v>1614.39382</v>
      </c>
      <c r="C17" s="53">
        <f>'Intermédiaire_Prod-Résultats'!J25</f>
        <v>418.31010000000015</v>
      </c>
      <c r="D17" s="53">
        <f>'Intermédiaire_Prod-Résultats'!G25</f>
        <v>873.88869999999997</v>
      </c>
      <c r="E17" s="53">
        <f>'Intermédiaire_Prod-Résultats'!S25</f>
        <v>576.70569999999998</v>
      </c>
      <c r="F17" s="53">
        <f>'Intermédiaire_Prod-Résultats'!AB25</f>
        <v>8.8187000000000353</v>
      </c>
      <c r="G17" s="53">
        <f>'Intermédiaire_Prod-Résultats'!AB25</f>
        <v>8.8187000000000353</v>
      </c>
      <c r="H17" s="54">
        <f>'Intermédiaire_Prod-Résultats'!AE25</f>
        <v>1614.39382</v>
      </c>
      <c r="I17" s="54">
        <f>'Intermédiaire_Prod-Résultats'!AK25</f>
        <v>418.31010000000015</v>
      </c>
      <c r="J17" s="54">
        <f>'Intermédiaire_Prod-Résultats'!AH25</f>
        <v>873.88869999999997</v>
      </c>
      <c r="K17" s="54">
        <f>'Intermédiaire_Prod-Résultats'!AT25</f>
        <v>576.70569999999998</v>
      </c>
      <c r="L17" s="54">
        <f>'Intermédiaire_Prod-Résultats'!BC25</f>
        <v>26.318700000000035</v>
      </c>
      <c r="M17" s="54">
        <f>'Intermédiaire_Prod-Résultats'!BC25</f>
        <v>26.318700000000035</v>
      </c>
      <c r="N17" s="55">
        <f>'Intermédiaire_Prod-Résultats'!BF25</f>
        <v>1614.39382</v>
      </c>
      <c r="O17" s="55">
        <f>'Intermédiaire_Prod-Résultats'!BL25</f>
        <v>418.31010000000015</v>
      </c>
      <c r="P17" s="50">
        <f>'Intermédiaire_Prod-Résultats'!BI25</f>
        <v>873.88869999999997</v>
      </c>
      <c r="Q17" s="55">
        <f>'Intermédiaire_Prod-Résultats'!BU25</f>
        <v>576.70569999999998</v>
      </c>
      <c r="R17" s="55">
        <f>'Intermédiaire_Prod-Résultats'!CD25</f>
        <v>43.818700000000035</v>
      </c>
      <c r="S17" s="55">
        <f>'Intermédiaire_Prod-Résultats'!CD25</f>
        <v>43.818700000000035</v>
      </c>
      <c r="T17" s="51">
        <f t="shared" si="0"/>
        <v>589.32262000000003</v>
      </c>
      <c r="V17" s="15" t="str">
        <f t="shared" si="1"/>
        <v>CHANVRE - ORGE - SARRASIN - BLÉ DE PRINTEMPS PANIFIABLE - PRAIRIES (2 ANS)</v>
      </c>
      <c r="W17" s="52">
        <f>'Intermédiaire_Prod-Résultats'!E25</f>
        <v>1614.39382</v>
      </c>
      <c r="X17" s="53">
        <f>'Intermédiaire_Prod-Résultats'!K25</f>
        <v>418.31010000000015</v>
      </c>
      <c r="Y17" s="53">
        <f>'Intermédiaire_Prod-Résultats'!H25</f>
        <v>873.88869999999997</v>
      </c>
      <c r="Z17" s="53">
        <f>'Intermédiaire_Prod-Résultats'!T25</f>
        <v>576.70569999999998</v>
      </c>
      <c r="AA17" s="53">
        <f>'Intermédiaire_Prod-Résultats'!AC25</f>
        <v>8.8187000000000353</v>
      </c>
      <c r="AB17" s="53">
        <f>'Intermédiaire_Prod-Résultats'!AC25</f>
        <v>8.8187000000000353</v>
      </c>
      <c r="AC17" s="54">
        <f>'Intermédiaire_Prod-Résultats'!AF25</f>
        <v>1614.39382</v>
      </c>
      <c r="AD17" s="54">
        <f>'Intermédiaire_Prod-Résultats'!AL25</f>
        <v>418.31010000000015</v>
      </c>
      <c r="AE17" s="54">
        <f>'Intermédiaire_Prod-Résultats'!AI25</f>
        <v>873.88869999999997</v>
      </c>
      <c r="AF17" s="54">
        <f>'Intermédiaire_Prod-Résultats'!AU25</f>
        <v>576.70569999999998</v>
      </c>
      <c r="AG17" s="54">
        <f>'Intermédiaire_Prod-Résultats'!BD25</f>
        <v>26.318700000000035</v>
      </c>
      <c r="AH17" s="54">
        <f>'Intermédiaire_Prod-Résultats'!BD25</f>
        <v>26.318700000000035</v>
      </c>
      <c r="AI17" s="55">
        <f>'Intermédiaire_Prod-Résultats'!BG25</f>
        <v>1614.39382</v>
      </c>
      <c r="AJ17" s="55">
        <f>'Intermédiaire_Prod-Résultats'!BM25</f>
        <v>418.31010000000015</v>
      </c>
      <c r="AK17" s="50">
        <f>'Intermédiaire_Prod-Résultats'!BJ25</f>
        <v>873.88869999999997</v>
      </c>
      <c r="AL17" s="55">
        <f>'Intermédiaire_Prod-Résultats'!BV25</f>
        <v>576.70569999999998</v>
      </c>
      <c r="AM17" s="55">
        <f>'Intermédiaire_Prod-Résultats'!CE25</f>
        <v>43.818700000000035</v>
      </c>
      <c r="AN17" s="55">
        <f>'Intermédiaire_Prod-Résultats'!CE25</f>
        <v>43.818700000000035</v>
      </c>
      <c r="AO17" s="51">
        <f t="shared" si="2"/>
        <v>589.32262000000003</v>
      </c>
      <c r="AP17" s="3"/>
    </row>
    <row r="18" spans="1:42" x14ac:dyDescent="0.25">
      <c r="A18" s="16" t="s">
        <v>183</v>
      </c>
      <c r="B18" s="52">
        <f>'Intermédiaire_Prod-Résultats'!D25</f>
        <v>1614.39382</v>
      </c>
      <c r="C18" s="53">
        <f>'Intermédiaire_Prod-Résultats'!M25</f>
        <v>-56.167599999999766</v>
      </c>
      <c r="D18" s="53">
        <f>'Intermédiaire_Prod-Résultats'!G25</f>
        <v>873.88869999999997</v>
      </c>
      <c r="E18" s="53">
        <f>'Intermédiaire_Prod-Résultats'!S25</f>
        <v>576.70569999999998</v>
      </c>
      <c r="F18" s="53">
        <f>'Intermédiaire_Prod-Résultats'!AB25</f>
        <v>8.8187000000000353</v>
      </c>
      <c r="G18" s="53">
        <f>'Intermédiaire_Prod-Résultats'!AB25</f>
        <v>8.8187000000000353</v>
      </c>
      <c r="H18" s="54">
        <f>'Intermédiaire_Prod-Résultats'!AE25</f>
        <v>1614.39382</v>
      </c>
      <c r="I18" s="54">
        <f>'Intermédiaire_Prod-Résultats'!AN25</f>
        <v>-56.167599999999766</v>
      </c>
      <c r="J18" s="54">
        <f>'Intermédiaire_Prod-Résultats'!AH25</f>
        <v>873.88869999999997</v>
      </c>
      <c r="K18" s="54">
        <f>'Intermédiaire_Prod-Résultats'!AT25</f>
        <v>576.70569999999998</v>
      </c>
      <c r="L18" s="54">
        <f>'Intermédiaire_Prod-Résultats'!BC25</f>
        <v>26.318700000000035</v>
      </c>
      <c r="M18" s="54">
        <f>'Intermédiaire_Prod-Résultats'!BC25</f>
        <v>26.318700000000035</v>
      </c>
      <c r="N18" s="55">
        <f>'Intermédiaire_Prod-Résultats'!BF25</f>
        <v>1614.39382</v>
      </c>
      <c r="O18" s="55">
        <f>'Intermédiaire_Prod-Résultats'!BO25</f>
        <v>-56.167599999999766</v>
      </c>
      <c r="P18" s="50">
        <f>'Intermédiaire_Prod-Résultats'!BI25</f>
        <v>873.88869999999997</v>
      </c>
      <c r="Q18" s="55">
        <f>'Intermédiaire_Prod-Résultats'!BU25</f>
        <v>576.70569999999998</v>
      </c>
      <c r="R18" s="55">
        <f>'Intermédiaire_Prod-Résultats'!CD25</f>
        <v>43.818700000000035</v>
      </c>
      <c r="S18" s="55">
        <f>'Intermédiaire_Prod-Résultats'!CD25</f>
        <v>43.818700000000035</v>
      </c>
      <c r="T18" s="51">
        <f t="shared" si="0"/>
        <v>510.24300333333332</v>
      </c>
      <c r="V18" s="15" t="str">
        <f t="shared" si="1"/>
        <v>CHANVRE - AVOINE - SARRASIN - BLÉ DE PRINTEMPS PANIFIABLE - PRAIRIES (2 ANS)</v>
      </c>
      <c r="W18" s="52">
        <f>'Intermédiaire_Prod-Résultats'!E25</f>
        <v>1614.39382</v>
      </c>
      <c r="X18" s="53">
        <f>'Intermédiaire_Prod-Résultats'!N25</f>
        <v>-56.167599999999766</v>
      </c>
      <c r="Y18" s="53">
        <f>'Intermédiaire_Prod-Résultats'!H25</f>
        <v>873.88869999999997</v>
      </c>
      <c r="Z18" s="53">
        <f>'Intermédiaire_Prod-Résultats'!T25</f>
        <v>576.70569999999998</v>
      </c>
      <c r="AA18" s="53">
        <f>'Intermédiaire_Prod-Résultats'!AC25</f>
        <v>8.8187000000000353</v>
      </c>
      <c r="AB18" s="53">
        <f>'Intermédiaire_Prod-Résultats'!AC25</f>
        <v>8.8187000000000353</v>
      </c>
      <c r="AC18" s="54">
        <f>'Intermédiaire_Prod-Résultats'!AF25</f>
        <v>1614.39382</v>
      </c>
      <c r="AD18" s="54">
        <f>'Intermédiaire_Prod-Résultats'!AO25</f>
        <v>-56.167599999999766</v>
      </c>
      <c r="AE18" s="54">
        <f>'Intermédiaire_Prod-Résultats'!AI25</f>
        <v>873.88869999999997</v>
      </c>
      <c r="AF18" s="54">
        <f>'Intermédiaire_Prod-Résultats'!AU25</f>
        <v>576.70569999999998</v>
      </c>
      <c r="AG18" s="54">
        <f>'Intermédiaire_Prod-Résultats'!BD25</f>
        <v>26.318700000000035</v>
      </c>
      <c r="AH18" s="54">
        <f>'Intermédiaire_Prod-Résultats'!BD25</f>
        <v>26.318700000000035</v>
      </c>
      <c r="AI18" s="55">
        <f>'Intermédiaire_Prod-Résultats'!BG25</f>
        <v>1614.39382</v>
      </c>
      <c r="AJ18" s="55">
        <f>'Intermédiaire_Prod-Résultats'!BP25</f>
        <v>-56.167599999999766</v>
      </c>
      <c r="AK18" s="50">
        <f>'Intermédiaire_Prod-Résultats'!BJ25</f>
        <v>873.88869999999997</v>
      </c>
      <c r="AL18" s="55">
        <f>'Intermédiaire_Prod-Résultats'!BV25</f>
        <v>576.70569999999998</v>
      </c>
      <c r="AM18" s="55">
        <f>'Intermédiaire_Prod-Résultats'!CE25</f>
        <v>43.818700000000035</v>
      </c>
      <c r="AN18" s="55">
        <f>'Intermédiaire_Prod-Résultats'!CE25</f>
        <v>43.818700000000035</v>
      </c>
      <c r="AO18" s="51">
        <f t="shared" si="2"/>
        <v>510.24300333333332</v>
      </c>
      <c r="AP18" s="3"/>
    </row>
    <row r="19" spans="1:42" x14ac:dyDescent="0.25">
      <c r="A19" s="16" t="s">
        <v>184</v>
      </c>
      <c r="B19" s="52">
        <f>'Intermédiaire_Prod-Résultats'!D25</f>
        <v>1614.39382</v>
      </c>
      <c r="C19" s="53">
        <f>'Intermédiaire_Prod-Résultats'!V25</f>
        <v>329.62939999999981</v>
      </c>
      <c r="D19" s="53">
        <f>'Intermédiaire_Prod-Résultats'!G25</f>
        <v>873.88869999999997</v>
      </c>
      <c r="E19" s="53">
        <f>'Intermédiaire_Prod-Résultats'!S25</f>
        <v>576.70569999999998</v>
      </c>
      <c r="F19" s="53">
        <f>'Intermédiaire_Prod-Résultats'!AB25</f>
        <v>8.8187000000000353</v>
      </c>
      <c r="G19" s="53">
        <f>'Intermédiaire_Prod-Résultats'!AB25</f>
        <v>8.8187000000000353</v>
      </c>
      <c r="H19" s="54">
        <f>'Intermédiaire_Prod-Résultats'!AE25</f>
        <v>1614.39382</v>
      </c>
      <c r="I19" s="54">
        <f>'Intermédiaire_Prod-Résultats'!AW25</f>
        <v>329.62939999999981</v>
      </c>
      <c r="J19" s="54">
        <f>'Intermédiaire_Prod-Résultats'!AH25</f>
        <v>873.88869999999997</v>
      </c>
      <c r="K19" s="54">
        <f>'Intermédiaire_Prod-Résultats'!AT25</f>
        <v>576.70569999999998</v>
      </c>
      <c r="L19" s="54">
        <f>'Intermédiaire_Prod-Résultats'!BC25</f>
        <v>26.318700000000035</v>
      </c>
      <c r="M19" s="54">
        <f>'Intermédiaire_Prod-Résultats'!BC25</f>
        <v>26.318700000000035</v>
      </c>
      <c r="N19" s="55">
        <f>'Intermédiaire_Prod-Résultats'!BF25</f>
        <v>1614.39382</v>
      </c>
      <c r="O19" s="55">
        <f>'Intermédiaire_Prod-Résultats'!BX25</f>
        <v>329.62939999999981</v>
      </c>
      <c r="P19" s="50">
        <f>'Intermédiaire_Prod-Résultats'!BI25</f>
        <v>873.88869999999997</v>
      </c>
      <c r="Q19" s="55">
        <f>'Intermédiaire_Prod-Résultats'!BU25</f>
        <v>576.70569999999998</v>
      </c>
      <c r="R19" s="55">
        <f>'Intermédiaire_Prod-Résultats'!CD25</f>
        <v>43.818700000000035</v>
      </c>
      <c r="S19" s="55">
        <f>'Intermédiaire_Prod-Résultats'!CD25</f>
        <v>43.818700000000035</v>
      </c>
      <c r="T19" s="51">
        <f t="shared" si="0"/>
        <v>574.54250333333323</v>
      </c>
      <c r="V19" s="15" t="str">
        <f t="shared" si="1"/>
        <v>CHANVRE - SEIGLE - SARRASIN - BLÉ DE PRINTEMPS PANIFIABLE - PRAIRIES (2 ANS)</v>
      </c>
      <c r="W19" s="52">
        <f>'Intermédiaire_Prod-Résultats'!E25</f>
        <v>1614.39382</v>
      </c>
      <c r="X19" s="53">
        <f>'Intermédiaire_Prod-Résultats'!W25</f>
        <v>329.62939999999981</v>
      </c>
      <c r="Y19" s="53">
        <f>'Intermédiaire_Prod-Résultats'!H25</f>
        <v>873.88869999999997</v>
      </c>
      <c r="Z19" s="53">
        <f>'Intermédiaire_Prod-Résultats'!T25</f>
        <v>576.70569999999998</v>
      </c>
      <c r="AA19" s="53">
        <f>'Intermédiaire_Prod-Résultats'!AC25</f>
        <v>8.8187000000000353</v>
      </c>
      <c r="AB19" s="53">
        <f>'Intermédiaire_Prod-Résultats'!AC25</f>
        <v>8.8187000000000353</v>
      </c>
      <c r="AC19" s="54">
        <f>'Intermédiaire_Prod-Résultats'!AF25</f>
        <v>1614.39382</v>
      </c>
      <c r="AD19" s="54">
        <f>'Intermédiaire_Prod-Résultats'!AX25</f>
        <v>329.62939999999981</v>
      </c>
      <c r="AE19" s="54">
        <f>'Intermédiaire_Prod-Résultats'!AI25</f>
        <v>873.88869999999997</v>
      </c>
      <c r="AF19" s="54">
        <f>'Intermédiaire_Prod-Résultats'!AU25</f>
        <v>576.70569999999998</v>
      </c>
      <c r="AG19" s="54">
        <f>'Intermédiaire_Prod-Résultats'!BD25</f>
        <v>26.318700000000035</v>
      </c>
      <c r="AH19" s="54">
        <f>'Intermédiaire_Prod-Résultats'!BD25</f>
        <v>26.318700000000035</v>
      </c>
      <c r="AI19" s="55">
        <f>'Intermédiaire_Prod-Résultats'!BG25</f>
        <v>1614.39382</v>
      </c>
      <c r="AJ19" s="55">
        <f>'Intermédiaire_Prod-Résultats'!BY25</f>
        <v>329.62939999999981</v>
      </c>
      <c r="AK19" s="50">
        <f>'Intermédiaire_Prod-Résultats'!BJ25</f>
        <v>873.88869999999997</v>
      </c>
      <c r="AL19" s="55">
        <f>'Intermédiaire_Prod-Résultats'!BV25</f>
        <v>576.70569999999998</v>
      </c>
      <c r="AM19" s="55">
        <f>'Intermédiaire_Prod-Résultats'!CE25</f>
        <v>43.818700000000035</v>
      </c>
      <c r="AN19" s="55">
        <f>'Intermédiaire_Prod-Résultats'!CE25</f>
        <v>43.818700000000035</v>
      </c>
      <c r="AO19" s="51">
        <f t="shared" si="2"/>
        <v>574.54250333333323</v>
      </c>
      <c r="AP19" s="3"/>
    </row>
    <row r="20" spans="1:42" s="60" customFormat="1" x14ac:dyDescent="0.25">
      <c r="A20" s="16" t="s">
        <v>185</v>
      </c>
      <c r="B20" s="52">
        <f>'Intermédiaire_Prod-Résultats'!D25</f>
        <v>1614.39382</v>
      </c>
      <c r="C20" s="53">
        <f>'Intermédiaire_Prod-Résultats'!Y25</f>
        <v>1275.0663</v>
      </c>
      <c r="D20" s="53">
        <f>'Intermédiaire_Prod-Résultats'!G25</f>
        <v>873.88869999999997</v>
      </c>
      <c r="E20" s="53">
        <f>'Intermédiaire_Prod-Résultats'!S25</f>
        <v>576.70569999999998</v>
      </c>
      <c r="F20" s="53">
        <f>'Intermédiaire_Prod-Résultats'!AB25</f>
        <v>8.8187000000000353</v>
      </c>
      <c r="G20" s="53">
        <f>'Intermédiaire_Prod-Résultats'!AB25</f>
        <v>8.8187000000000353</v>
      </c>
      <c r="H20" s="54">
        <f>'Intermédiaire_Prod-Résultats'!AE25</f>
        <v>1614.39382</v>
      </c>
      <c r="I20" s="54">
        <f>'Intermédiaire_Prod-Résultats'!AZ25</f>
        <v>1275.0663</v>
      </c>
      <c r="J20" s="54">
        <f>'Intermédiaire_Prod-Résultats'!AH25</f>
        <v>873.88869999999997</v>
      </c>
      <c r="K20" s="54">
        <f>'Intermédiaire_Prod-Résultats'!AT25</f>
        <v>576.70569999999998</v>
      </c>
      <c r="L20" s="54">
        <f>'Intermédiaire_Prod-Résultats'!BC25</f>
        <v>26.318700000000035</v>
      </c>
      <c r="M20" s="54">
        <f>'Intermédiaire_Prod-Résultats'!BC25</f>
        <v>26.318700000000035</v>
      </c>
      <c r="N20" s="55">
        <f>'Intermédiaire_Prod-Résultats'!BF25</f>
        <v>1614.39382</v>
      </c>
      <c r="O20" s="55">
        <f>'Intermédiaire_Prod-Résultats'!CA25</f>
        <v>1275.0663</v>
      </c>
      <c r="P20" s="50">
        <f>'Intermédiaire_Prod-Résultats'!BI25</f>
        <v>873.88869999999997</v>
      </c>
      <c r="Q20" s="55">
        <f>'Intermédiaire_Prod-Résultats'!BU25</f>
        <v>576.70569999999998</v>
      </c>
      <c r="R20" s="55">
        <f>'Intermédiaire_Prod-Résultats'!CD25</f>
        <v>43.818700000000035</v>
      </c>
      <c r="S20" s="55">
        <f>'Intermédiaire_Prod-Résultats'!CD25</f>
        <v>43.818700000000035</v>
      </c>
      <c r="T20" s="51">
        <f>AVERAGE(B20:S20)</f>
        <v>732.11531999999988</v>
      </c>
      <c r="V20" s="15" t="str">
        <f t="shared" si="1"/>
        <v>CHANVRE - SEIGLE HYBRIDE D'AUTOMNE - SARRASIN - BLÉ DE PRINTEMPS PANIFIABLE - PRAIRIES (2 ANS)</v>
      </c>
      <c r="W20" s="52">
        <f>'Intermédiaire_Prod-Résultats'!E25</f>
        <v>1614.39382</v>
      </c>
      <c r="X20" s="53">
        <f>'Intermédiaire_Prod-Résultats'!Z25</f>
        <v>1275.0663</v>
      </c>
      <c r="Y20" s="53">
        <f>'Intermédiaire_Prod-Résultats'!H25</f>
        <v>873.88869999999997</v>
      </c>
      <c r="Z20" s="53">
        <f>'Intermédiaire_Prod-Résultats'!T25</f>
        <v>576.70569999999998</v>
      </c>
      <c r="AA20" s="53">
        <f>'Intermédiaire_Prod-Résultats'!AC25</f>
        <v>8.8187000000000353</v>
      </c>
      <c r="AB20" s="53">
        <f>'Intermédiaire_Prod-Résultats'!AC25</f>
        <v>8.8187000000000353</v>
      </c>
      <c r="AC20" s="54">
        <f>'Intermédiaire_Prod-Résultats'!AF25</f>
        <v>1614.39382</v>
      </c>
      <c r="AD20" s="54">
        <f>'Intermédiaire_Prod-Résultats'!BA25</f>
        <v>1275.0663</v>
      </c>
      <c r="AE20" s="54">
        <f>'Intermédiaire_Prod-Résultats'!AI25</f>
        <v>873.88869999999997</v>
      </c>
      <c r="AF20" s="54">
        <f>'Intermédiaire_Prod-Résultats'!AU25</f>
        <v>576.70569999999998</v>
      </c>
      <c r="AG20" s="54">
        <f>'Intermédiaire_Prod-Résultats'!BD25</f>
        <v>26.318700000000035</v>
      </c>
      <c r="AH20" s="54">
        <f>'Intermédiaire_Prod-Résultats'!BD25</f>
        <v>26.318700000000035</v>
      </c>
      <c r="AI20" s="55">
        <f>'Intermédiaire_Prod-Résultats'!BG25</f>
        <v>1614.39382</v>
      </c>
      <c r="AJ20" s="55">
        <f>'Intermédiaire_Prod-Résultats'!CB25</f>
        <v>1275.0663</v>
      </c>
      <c r="AK20" s="50">
        <f>'Intermédiaire_Prod-Résultats'!BJ25</f>
        <v>873.88869999999997</v>
      </c>
      <c r="AL20" s="55">
        <f>'Intermédiaire_Prod-Résultats'!BV25</f>
        <v>576.70569999999998</v>
      </c>
      <c r="AM20" s="55">
        <f>'Intermédiaire_Prod-Résultats'!CE25</f>
        <v>43.818700000000035</v>
      </c>
      <c r="AN20" s="55">
        <f>'Intermédiaire_Prod-Résultats'!CE25</f>
        <v>43.818700000000035</v>
      </c>
      <c r="AO20" s="51">
        <f t="shared" si="2"/>
        <v>732.11531999999988</v>
      </c>
      <c r="AP20" s="3"/>
    </row>
    <row r="22" spans="1:42" ht="18.75" x14ac:dyDescent="0.3">
      <c r="A22" s="92" t="s">
        <v>51</v>
      </c>
      <c r="B22" s="92"/>
      <c r="C22" s="92"/>
      <c r="D22" s="92"/>
      <c r="E22" s="92"/>
      <c r="F22" s="92"/>
      <c r="G22" s="92"/>
      <c r="H22" s="92"/>
      <c r="I22" s="92"/>
      <c r="J22" s="92"/>
      <c r="K22" s="92"/>
      <c r="L22" s="92"/>
      <c r="M22" s="92"/>
      <c r="N22" s="92"/>
      <c r="O22" s="92"/>
      <c r="P22" s="92"/>
      <c r="Q22" s="92"/>
      <c r="R22" s="92"/>
      <c r="S22" s="92"/>
      <c r="T22" s="92"/>
      <c r="V22" s="89" t="s">
        <v>53</v>
      </c>
      <c r="W22" s="89"/>
      <c r="X22" s="89"/>
      <c r="Y22" s="89"/>
      <c r="Z22" s="89"/>
      <c r="AA22" s="89"/>
      <c r="AB22" s="89"/>
      <c r="AC22" s="89"/>
      <c r="AD22" s="89"/>
      <c r="AE22" s="89"/>
      <c r="AF22" s="89"/>
      <c r="AG22" s="89"/>
      <c r="AH22" s="89"/>
      <c r="AI22" s="89"/>
      <c r="AJ22" s="89"/>
      <c r="AK22" s="89"/>
      <c r="AL22" s="89"/>
      <c r="AM22" s="89"/>
      <c r="AN22" s="89"/>
      <c r="AO22" s="89"/>
    </row>
    <row r="23" spans="1:42" ht="15.75" x14ac:dyDescent="0.25">
      <c r="A23" s="93" t="s">
        <v>147</v>
      </c>
      <c r="B23" s="93"/>
      <c r="C23" s="93"/>
      <c r="D23" s="93"/>
      <c r="E23" s="93"/>
      <c r="F23" s="93"/>
      <c r="G23" s="93"/>
      <c r="H23" s="93"/>
      <c r="I23" s="93"/>
      <c r="J23" s="93"/>
      <c r="K23" s="93"/>
      <c r="L23" s="93"/>
      <c r="M23" s="93"/>
      <c r="N23" s="93"/>
      <c r="O23" s="93"/>
      <c r="P23" s="93"/>
      <c r="Q23" s="93"/>
      <c r="R23" s="93"/>
      <c r="S23" s="93"/>
      <c r="T23" s="93"/>
      <c r="V23" s="88" t="s">
        <v>147</v>
      </c>
      <c r="W23" s="88"/>
      <c r="X23" s="88"/>
      <c r="Y23" s="88"/>
      <c r="Z23" s="88"/>
      <c r="AA23" s="88"/>
      <c r="AB23" s="88"/>
      <c r="AC23" s="88"/>
      <c r="AD23" s="88"/>
      <c r="AE23" s="88"/>
      <c r="AF23" s="88"/>
      <c r="AG23" s="88"/>
      <c r="AH23" s="88"/>
      <c r="AI23" s="88"/>
      <c r="AJ23" s="88"/>
      <c r="AK23" s="88"/>
      <c r="AL23" s="88"/>
      <c r="AM23" s="88"/>
      <c r="AN23" s="88"/>
      <c r="AO23" s="88"/>
    </row>
    <row r="24" spans="1:42" ht="15.75" x14ac:dyDescent="0.25">
      <c r="A24" s="12"/>
      <c r="B24" s="94" t="s">
        <v>128</v>
      </c>
      <c r="C24" s="95"/>
      <c r="D24" s="95"/>
      <c r="E24" s="95"/>
      <c r="F24" s="96"/>
      <c r="G24" s="94" t="s">
        <v>129</v>
      </c>
      <c r="H24" s="95"/>
      <c r="I24" s="95"/>
      <c r="J24" s="95"/>
      <c r="K24" s="96"/>
      <c r="L24" s="97" t="s">
        <v>130</v>
      </c>
      <c r="M24" s="98"/>
      <c r="N24" s="98"/>
      <c r="O24" s="98"/>
      <c r="P24" s="98"/>
      <c r="Q24" s="12"/>
      <c r="R24" s="12"/>
      <c r="S24" s="12"/>
      <c r="T24" s="12"/>
      <c r="V24" s="12"/>
      <c r="W24" s="94" t="s">
        <v>128</v>
      </c>
      <c r="X24" s="95"/>
      <c r="Y24" s="95"/>
      <c r="Z24" s="95"/>
      <c r="AA24" s="96"/>
      <c r="AB24" s="94" t="s">
        <v>129</v>
      </c>
      <c r="AC24" s="95"/>
      <c r="AD24" s="95"/>
      <c r="AE24" s="95"/>
      <c r="AF24" s="96"/>
      <c r="AG24" s="97" t="s">
        <v>130</v>
      </c>
      <c r="AH24" s="98"/>
      <c r="AI24" s="98"/>
      <c r="AJ24" s="98"/>
      <c r="AK24" s="98"/>
      <c r="AL24" s="12"/>
      <c r="AM24" s="12"/>
      <c r="AN24" s="12"/>
      <c r="AO24" s="12"/>
    </row>
    <row r="25" spans="1:42" x14ac:dyDescent="0.25">
      <c r="A25" s="61" t="s">
        <v>196</v>
      </c>
      <c r="B25" s="17" t="s">
        <v>45</v>
      </c>
      <c r="C25" s="13" t="s">
        <v>46</v>
      </c>
      <c r="D25" s="13" t="s">
        <v>47</v>
      </c>
      <c r="E25" s="13" t="s">
        <v>48</v>
      </c>
      <c r="F25" s="13" t="s">
        <v>49</v>
      </c>
      <c r="G25" s="13" t="s">
        <v>50</v>
      </c>
      <c r="H25" s="35" t="s">
        <v>119</v>
      </c>
      <c r="I25" s="35" t="s">
        <v>120</v>
      </c>
      <c r="J25" s="35" t="s">
        <v>121</v>
      </c>
      <c r="K25" s="35" t="s">
        <v>123</v>
      </c>
      <c r="L25" s="35" t="s">
        <v>154</v>
      </c>
      <c r="M25" s="35" t="s">
        <v>155</v>
      </c>
      <c r="N25" s="35" t="s">
        <v>156</v>
      </c>
      <c r="O25" s="35" t="s">
        <v>157</v>
      </c>
      <c r="P25" s="35" t="s">
        <v>158</v>
      </c>
      <c r="Q25" s="35" t="s">
        <v>170</v>
      </c>
      <c r="R25" s="35" t="s">
        <v>171</v>
      </c>
      <c r="S25" s="35" t="s">
        <v>172</v>
      </c>
      <c r="T25" s="14" t="s">
        <v>52</v>
      </c>
      <c r="V25" s="63" t="s">
        <v>196</v>
      </c>
      <c r="W25" s="17" t="s">
        <v>45</v>
      </c>
      <c r="X25" s="13" t="s">
        <v>46</v>
      </c>
      <c r="Y25" s="13" t="s">
        <v>47</v>
      </c>
      <c r="Z25" s="13" t="s">
        <v>48</v>
      </c>
      <c r="AA25" s="13" t="s">
        <v>49</v>
      </c>
      <c r="AB25" s="13" t="s">
        <v>50</v>
      </c>
      <c r="AC25" s="35" t="s">
        <v>119</v>
      </c>
      <c r="AD25" s="35" t="s">
        <v>120</v>
      </c>
      <c r="AE25" s="35" t="s">
        <v>121</v>
      </c>
      <c r="AF25" s="35" t="s">
        <v>123</v>
      </c>
      <c r="AG25" s="35" t="s">
        <v>154</v>
      </c>
      <c r="AH25" s="35" t="s">
        <v>155</v>
      </c>
      <c r="AI25" s="35" t="s">
        <v>156</v>
      </c>
      <c r="AJ25" s="35" t="s">
        <v>157</v>
      </c>
      <c r="AK25" s="35" t="s">
        <v>158</v>
      </c>
      <c r="AL25" s="35" t="s">
        <v>170</v>
      </c>
      <c r="AM25" s="35" t="s">
        <v>171</v>
      </c>
      <c r="AN25" s="35" t="s">
        <v>172</v>
      </c>
      <c r="AO25" s="14" t="s">
        <v>52</v>
      </c>
    </row>
    <row r="26" spans="1:42" x14ac:dyDescent="0.25">
      <c r="A26" s="15" t="str">
        <f>A5</f>
        <v>CHANVRE - BLÉ DE PRINTEMPS PANIFIABLE - AVOINE - SARRASIN - ENGRAIS VERTS</v>
      </c>
      <c r="B26" s="48">
        <f>'Intermédiaire_Prod-Résultats'!D32</f>
        <v>820.62382000000002</v>
      </c>
      <c r="C26" s="49">
        <f>'Intermédiaire_Prod-Résultats'!S32</f>
        <v>-35.754300000000057</v>
      </c>
      <c r="D26" s="49">
        <f>'Intermédiaire_Prod-Résultats'!M32</f>
        <v>-573.3775999999998</v>
      </c>
      <c r="E26" s="49">
        <f>'Intermédiaire_Prod-Résultats'!G32</f>
        <v>130.11869999999999</v>
      </c>
      <c r="F26" s="49">
        <f>-'Cultures de couverture'!E9+Saisies!B53*Saisies!B54+Saisies!B70</f>
        <v>-251.45999999999998</v>
      </c>
      <c r="G26" s="49">
        <f>'Intermédiaire_Prod-Résultats'!AE32</f>
        <v>820.62382000000002</v>
      </c>
      <c r="H26" s="50">
        <f>'Intermédiaire_Prod-Résultats'!AT32</f>
        <v>-35.754300000000057</v>
      </c>
      <c r="I26" s="50">
        <f>'Intermédiaire_Prod-Résultats'!AN32</f>
        <v>-573.3775999999998</v>
      </c>
      <c r="J26" s="50">
        <f>'Intermédiaire_Prod-Résultats'!AH32</f>
        <v>130.11869999999999</v>
      </c>
      <c r="K26" s="50">
        <f>-'Cultures de couverture'!E9+Saisies!B53*Saisies!B54+Saisies!B70</f>
        <v>-251.45999999999998</v>
      </c>
      <c r="L26" s="50">
        <f>'Intermédiaire_Prod-Résultats'!BF32</f>
        <v>820.62382000000002</v>
      </c>
      <c r="M26" s="50">
        <f>'Intermédiaire_Prod-Résultats'!BU32</f>
        <v>-35.754300000000057</v>
      </c>
      <c r="N26" s="50">
        <f>'Intermédiaire_Prod-Résultats'!BO32</f>
        <v>-573.3775999999998</v>
      </c>
      <c r="O26" s="50">
        <f>'Intermédiaire_Prod-Résultats'!BI32</f>
        <v>130.11869999999999</v>
      </c>
      <c r="P26" s="50">
        <f>-'Cultures de couverture'!E9+Saisies!B53*Saisies!B54+Saisies!B70</f>
        <v>-251.45999999999998</v>
      </c>
      <c r="Q26" s="46" t="s">
        <v>122</v>
      </c>
      <c r="R26" s="46" t="s">
        <v>122</v>
      </c>
      <c r="S26" s="46" t="s">
        <v>122</v>
      </c>
      <c r="T26" s="51">
        <f t="shared" ref="T26:T40" si="3">AVERAGE(B26:S26)</f>
        <v>18.030124000000026</v>
      </c>
      <c r="V26" s="15" t="str">
        <f>A26</f>
        <v>CHANVRE - BLÉ DE PRINTEMPS PANIFIABLE - AVOINE - SARRASIN - ENGRAIS VERTS</v>
      </c>
      <c r="W26" s="48">
        <f>'Intermédiaire_Prod-Résultats'!E32</f>
        <v>820.62382000000002</v>
      </c>
      <c r="X26" s="49">
        <f>'Intermédiaire_Prod-Résultats'!T32</f>
        <v>-35.754300000000057</v>
      </c>
      <c r="Y26" s="49">
        <f>'Intermédiaire_Prod-Résultats'!N32</f>
        <v>-573.3775999999998</v>
      </c>
      <c r="Z26" s="49">
        <f>'Intermédiaire_Prod-Résultats'!H32</f>
        <v>130.11869999999999</v>
      </c>
      <c r="AA26" s="49">
        <f>-'Cultures de couverture'!$E$9+(IF(Saisies!$C$53="",Saisies!$B$53,Saisies!$C$53)*IF(Saisies!$C$54="",Saisies!$B$54,Saisies!$C$54))+IF(Saisies!$C$70="",Saisies!$B$70,Saisies!$C$70)</f>
        <v>-251.45999999999998</v>
      </c>
      <c r="AB26" s="49">
        <f>'Intermédiaire_Prod-Résultats'!AF32</f>
        <v>820.62382000000002</v>
      </c>
      <c r="AC26" s="50">
        <f>'Intermédiaire_Prod-Résultats'!AU32</f>
        <v>-35.754300000000057</v>
      </c>
      <c r="AD26" s="50">
        <f>'Intermédiaire_Prod-Résultats'!AO32</f>
        <v>-573.3775999999998</v>
      </c>
      <c r="AE26" s="50">
        <f>'Intermédiaire_Prod-Résultats'!AI32</f>
        <v>130.11869999999999</v>
      </c>
      <c r="AF26" s="50">
        <f>-'Cultures de couverture'!$E$9+(IF(Saisies!$C$53="",Saisies!$B$53,Saisies!$C$53)*IF(Saisies!$C$54="",Saisies!$B$54,Saisies!$C$54))+IF(Saisies!$C$70="",Saisies!$B$70,Saisies!$C$70)</f>
        <v>-251.45999999999998</v>
      </c>
      <c r="AG26" s="50">
        <f>'Intermédiaire_Prod-Résultats'!BG32</f>
        <v>820.62382000000002</v>
      </c>
      <c r="AH26" s="50">
        <f>'Intermédiaire_Prod-Résultats'!BV32</f>
        <v>-35.754300000000057</v>
      </c>
      <c r="AI26" s="50">
        <f>'Intermédiaire_Prod-Résultats'!BP32</f>
        <v>-573.3775999999998</v>
      </c>
      <c r="AJ26" s="50">
        <f>'Intermédiaire_Prod-Résultats'!BJ32</f>
        <v>130.11869999999999</v>
      </c>
      <c r="AK26" s="50">
        <f>-'Cultures de couverture'!$E$9+(IF(Saisies!$C$53="",Saisies!$B$53,Saisies!$C$53)*IF(Saisies!$C$54="",Saisies!$B$54,Saisies!$C$54))+IF(Saisies!$C$70="",Saisies!$B$70,Saisies!$C$70)</f>
        <v>-251.45999999999998</v>
      </c>
      <c r="AL26" s="46" t="s">
        <v>122</v>
      </c>
      <c r="AM26" s="46" t="s">
        <v>122</v>
      </c>
      <c r="AN26" s="46" t="s">
        <v>122</v>
      </c>
      <c r="AO26" s="51">
        <f>AVERAGE(W26:AN26)</f>
        <v>18.030124000000026</v>
      </c>
      <c r="AP26" s="3"/>
    </row>
    <row r="27" spans="1:42" x14ac:dyDescent="0.25">
      <c r="A27" s="15" t="str">
        <f t="shared" ref="A27:A41" si="4">A6</f>
        <v>CHANVRE - BLÉ D'AUTOMNE PANIFIABLE - AVOINE - SARRASIN - ENGRAIS VERTS</v>
      </c>
      <c r="B27" s="52">
        <f>'Intermédiaire_Prod-Résultats'!D32</f>
        <v>820.62382000000002</v>
      </c>
      <c r="C27" s="53">
        <f>'Intermédiaire_Prod-Résultats'!P32</f>
        <v>379.33750899999973</v>
      </c>
      <c r="D27" s="53">
        <f>'Intermédiaire_Prod-Résultats'!M32</f>
        <v>-573.3775999999998</v>
      </c>
      <c r="E27" s="53">
        <f>'Intermédiaire_Prod-Résultats'!G32</f>
        <v>130.11869999999999</v>
      </c>
      <c r="F27" s="49">
        <f>-'Cultures de couverture'!E9+Saisies!B53*Saisies!B54+Saisies!B70</f>
        <v>-251.45999999999998</v>
      </c>
      <c r="G27" s="53">
        <f>'Intermédiaire_Prod-Résultats'!AE32</f>
        <v>820.62382000000002</v>
      </c>
      <c r="H27" s="54">
        <f>'Intermédiaire_Prod-Résultats'!AQ32</f>
        <v>379.33750899999973</v>
      </c>
      <c r="I27" s="50">
        <f>'Intermédiaire_Prod-Résultats'!AN32</f>
        <v>-573.3775999999998</v>
      </c>
      <c r="J27" s="50">
        <f>'Intermédiaire_Prod-Résultats'!AH32</f>
        <v>130.11869999999999</v>
      </c>
      <c r="K27" s="50">
        <f>-'Cultures de couverture'!E9+Saisies!B53*Saisies!B54+Saisies!B70</f>
        <v>-251.45999999999998</v>
      </c>
      <c r="L27" s="50">
        <f>'Intermédiaire_Prod-Résultats'!BF32</f>
        <v>820.62382000000002</v>
      </c>
      <c r="M27" s="54">
        <f>'Intermédiaire_Prod-Résultats'!BR32</f>
        <v>379.33750899999973</v>
      </c>
      <c r="N27" s="50">
        <f>'Intermédiaire_Prod-Résultats'!BO32</f>
        <v>-573.3775999999998</v>
      </c>
      <c r="O27" s="50">
        <f>'Intermédiaire_Prod-Résultats'!BI32</f>
        <v>130.11869999999999</v>
      </c>
      <c r="P27" s="50">
        <f>-'Cultures de couverture'!E9+Saisies!B53*Saisies!B54+Saisies!B70</f>
        <v>-251.45999999999998</v>
      </c>
      <c r="Q27" s="46" t="s">
        <v>122</v>
      </c>
      <c r="R27" s="46" t="s">
        <v>122</v>
      </c>
      <c r="S27" s="46" t="s">
        <v>122</v>
      </c>
      <c r="T27" s="51">
        <f t="shared" si="3"/>
        <v>101.04848579999998</v>
      </c>
      <c r="V27" s="15" t="str">
        <f t="shared" ref="V27:V41" si="5">A27</f>
        <v>CHANVRE - BLÉ D'AUTOMNE PANIFIABLE - AVOINE - SARRASIN - ENGRAIS VERTS</v>
      </c>
      <c r="W27" s="52">
        <f>'Intermédiaire_Prod-Résultats'!E32</f>
        <v>820.62382000000002</v>
      </c>
      <c r="X27" s="53">
        <f>'Intermédiaire_Prod-Résultats'!Q32</f>
        <v>379.33750899999973</v>
      </c>
      <c r="Y27" s="53">
        <f>'Intermédiaire_Prod-Résultats'!N32</f>
        <v>-573.3775999999998</v>
      </c>
      <c r="Z27" s="53">
        <f>'Intermédiaire_Prod-Résultats'!H32</f>
        <v>130.11869999999999</v>
      </c>
      <c r="AA27" s="49">
        <f>-'Cultures de couverture'!$E$9+(IF(Saisies!$C$53="",Saisies!$B$53,Saisies!$C$53)*IF(Saisies!$C$54="",Saisies!$B$54,Saisies!$C$54))+IF(Saisies!$C$70="",Saisies!$B$70,Saisies!$C$70)</f>
        <v>-251.45999999999998</v>
      </c>
      <c r="AB27" s="53">
        <f>'Intermédiaire_Prod-Résultats'!AF32</f>
        <v>820.62382000000002</v>
      </c>
      <c r="AC27" s="54">
        <f>'Intermédiaire_Prod-Résultats'!AR32</f>
        <v>379.33750899999973</v>
      </c>
      <c r="AD27" s="50">
        <f>'Intermédiaire_Prod-Résultats'!AO32</f>
        <v>-573.3775999999998</v>
      </c>
      <c r="AE27" s="50">
        <f>'Intermédiaire_Prod-Résultats'!AI32</f>
        <v>130.11869999999999</v>
      </c>
      <c r="AF27" s="50">
        <f>-'Cultures de couverture'!$E$9+(IF(Saisies!$C$53="",Saisies!$B$53,Saisies!$C$53)*IF(Saisies!$C$54="",Saisies!$B$54,Saisies!$C$54))+IF(Saisies!$C$70="",Saisies!$B$70,Saisies!$C$70)</f>
        <v>-251.45999999999998</v>
      </c>
      <c r="AG27" s="50">
        <f>'Intermédiaire_Prod-Résultats'!BG32</f>
        <v>820.62382000000002</v>
      </c>
      <c r="AH27" s="54">
        <f>'Intermédiaire_Prod-Résultats'!BS32</f>
        <v>379.33750899999973</v>
      </c>
      <c r="AI27" s="50">
        <f>'Intermédiaire_Prod-Résultats'!BP32</f>
        <v>-573.3775999999998</v>
      </c>
      <c r="AJ27" s="50">
        <f>'Intermédiaire_Prod-Résultats'!BJ32</f>
        <v>130.11869999999999</v>
      </c>
      <c r="AK27" s="50">
        <f>-'Cultures de couverture'!$E$9+(IF(Saisies!$C$53="",Saisies!$B$53,Saisies!$C$53)*IF(Saisies!$C$54="",Saisies!$B$54,Saisies!$C$54))+IF(Saisies!$C$70="",Saisies!$B$70,Saisies!$C$70)</f>
        <v>-251.45999999999998</v>
      </c>
      <c r="AL27" s="46" t="s">
        <v>122</v>
      </c>
      <c r="AM27" s="46" t="s">
        <v>122</v>
      </c>
      <c r="AN27" s="46" t="s">
        <v>122</v>
      </c>
      <c r="AO27" s="51">
        <f t="shared" ref="AO27:AO41" si="6">AVERAGE(W27:AN27)</f>
        <v>101.04848579999998</v>
      </c>
      <c r="AP27" s="3"/>
    </row>
    <row r="28" spans="1:42" x14ac:dyDescent="0.25">
      <c r="A28" s="15" t="str">
        <f t="shared" si="4"/>
        <v>CHANVRE - ORGE - AVOINE - SARRASIN - ENGRAIS VERTS</v>
      </c>
      <c r="B28" s="52">
        <f>'Intermédiaire_Prod-Résultats'!D32</f>
        <v>820.62382000000002</v>
      </c>
      <c r="C28" s="53">
        <f>'Intermédiaire_Prod-Résultats'!J32</f>
        <v>-196.59989999999982</v>
      </c>
      <c r="D28" s="53">
        <f>'Intermédiaire_Prod-Résultats'!M32</f>
        <v>-573.3775999999998</v>
      </c>
      <c r="E28" s="53">
        <f>'Intermédiaire_Prod-Résultats'!G32</f>
        <v>130.11869999999999</v>
      </c>
      <c r="F28" s="49">
        <f>-'Cultures de couverture'!E9+Saisies!B53*Saisies!B54+Saisies!B70</f>
        <v>-251.45999999999998</v>
      </c>
      <c r="G28" s="53">
        <f>'Intermédiaire_Prod-Résultats'!AE32</f>
        <v>820.62382000000002</v>
      </c>
      <c r="H28" s="54">
        <f>'Intermédiaire_Prod-Résultats'!AK32</f>
        <v>-196.59989999999982</v>
      </c>
      <c r="I28" s="50">
        <f>'Intermédiaire_Prod-Résultats'!AN32</f>
        <v>-573.3775999999998</v>
      </c>
      <c r="J28" s="50">
        <f>'Intermédiaire_Prod-Résultats'!AH32</f>
        <v>130.11869999999999</v>
      </c>
      <c r="K28" s="50">
        <f>-'Cultures de couverture'!E9+Saisies!B53*Saisies!B54+Saisies!B70</f>
        <v>-251.45999999999998</v>
      </c>
      <c r="L28" s="50">
        <f>'Intermédiaire_Prod-Résultats'!BF32</f>
        <v>820.62382000000002</v>
      </c>
      <c r="M28" s="54">
        <f>'Intermédiaire_Prod-Résultats'!BL32</f>
        <v>-196.59989999999982</v>
      </c>
      <c r="N28" s="50">
        <f>'Intermédiaire_Prod-Résultats'!BO32</f>
        <v>-573.3775999999998</v>
      </c>
      <c r="O28" s="50">
        <f>'Intermédiaire_Prod-Résultats'!BI32</f>
        <v>130.11869999999999</v>
      </c>
      <c r="P28" s="50">
        <f>-'Cultures de couverture'!E9+Saisies!B53*Saisies!B54+Saisies!B70</f>
        <v>-251.45999999999998</v>
      </c>
      <c r="Q28" s="46" t="s">
        <v>122</v>
      </c>
      <c r="R28" s="46" t="s">
        <v>122</v>
      </c>
      <c r="S28" s="46" t="s">
        <v>122</v>
      </c>
      <c r="T28" s="51">
        <f t="shared" si="3"/>
        <v>-14.13899599999991</v>
      </c>
      <c r="V28" s="15" t="str">
        <f t="shared" si="5"/>
        <v>CHANVRE - ORGE - AVOINE - SARRASIN - ENGRAIS VERTS</v>
      </c>
      <c r="W28" s="52">
        <f>'Intermédiaire_Prod-Résultats'!E32</f>
        <v>820.62382000000002</v>
      </c>
      <c r="X28" s="53">
        <f>'Intermédiaire_Prod-Résultats'!K32</f>
        <v>-196.59989999999982</v>
      </c>
      <c r="Y28" s="53">
        <f>'Intermédiaire_Prod-Résultats'!N32</f>
        <v>-573.3775999999998</v>
      </c>
      <c r="Z28" s="53">
        <f>'Intermédiaire_Prod-Résultats'!H32</f>
        <v>130.11869999999999</v>
      </c>
      <c r="AA28" s="49">
        <f>-'Cultures de couverture'!$E$9+(IF(Saisies!$C$53="",Saisies!$B$53,Saisies!$C$53)*IF(Saisies!$C$54="",Saisies!$B$54,Saisies!$C$54))+IF(Saisies!$C$70="",Saisies!$B$70,Saisies!$C$70)</f>
        <v>-251.45999999999998</v>
      </c>
      <c r="AB28" s="53">
        <f>'Intermédiaire_Prod-Résultats'!AF32</f>
        <v>820.62382000000002</v>
      </c>
      <c r="AC28" s="54">
        <f>'Intermédiaire_Prod-Résultats'!AL32</f>
        <v>-196.59989999999982</v>
      </c>
      <c r="AD28" s="50">
        <f>'Intermédiaire_Prod-Résultats'!AO32</f>
        <v>-573.3775999999998</v>
      </c>
      <c r="AE28" s="50">
        <f>'Intermédiaire_Prod-Résultats'!AI32</f>
        <v>130.11869999999999</v>
      </c>
      <c r="AF28" s="50">
        <f>-'Cultures de couverture'!$E$9+(IF(Saisies!$C$53="",Saisies!$B$53,Saisies!$C$53)*IF(Saisies!$C$54="",Saisies!$B$54,Saisies!$C$54))+IF(Saisies!$C$70="",Saisies!$B$70,Saisies!$C$70)</f>
        <v>-251.45999999999998</v>
      </c>
      <c r="AG28" s="50">
        <f>'Intermédiaire_Prod-Résultats'!BG32</f>
        <v>820.62382000000002</v>
      </c>
      <c r="AH28" s="54">
        <f>'Intermédiaire_Prod-Résultats'!BM32</f>
        <v>-196.59989999999982</v>
      </c>
      <c r="AI28" s="50">
        <f>'Intermédiaire_Prod-Résultats'!BP32</f>
        <v>-573.3775999999998</v>
      </c>
      <c r="AJ28" s="50">
        <f>'Intermédiaire_Prod-Résultats'!BJ32</f>
        <v>130.11869999999999</v>
      </c>
      <c r="AK28" s="50">
        <f>-'Cultures de couverture'!$E$9+(IF(Saisies!$C$53="",Saisies!$B$53,Saisies!$C$53)*IF(Saisies!$C$54="",Saisies!$B$54,Saisies!$C$54))+IF(Saisies!$C$70="",Saisies!$B$70,Saisies!$C$70)</f>
        <v>-251.45999999999998</v>
      </c>
      <c r="AL28" s="46" t="s">
        <v>122</v>
      </c>
      <c r="AM28" s="46" t="s">
        <v>122</v>
      </c>
      <c r="AN28" s="46" t="s">
        <v>122</v>
      </c>
      <c r="AO28" s="51">
        <f t="shared" si="6"/>
        <v>-14.13899599999991</v>
      </c>
      <c r="AP28" s="3"/>
    </row>
    <row r="29" spans="1:42" x14ac:dyDescent="0.25">
      <c r="A29" s="15" t="str">
        <f t="shared" si="4"/>
        <v>CHANVRE - SEIGLE - AVOINE - SARRASIN - ENGRAIS VERTS</v>
      </c>
      <c r="B29" s="52">
        <f>'Intermédiaire_Prod-Résultats'!D32</f>
        <v>820.62382000000002</v>
      </c>
      <c r="C29" s="53">
        <f>'Intermédiaire_Prod-Résultats'!V32</f>
        <v>-249.59060000000022</v>
      </c>
      <c r="D29" s="53">
        <f>'Intermédiaire_Prod-Résultats'!M32</f>
        <v>-573.3775999999998</v>
      </c>
      <c r="E29" s="53">
        <f>'Intermédiaire_Prod-Résultats'!G32</f>
        <v>130.11869999999999</v>
      </c>
      <c r="F29" s="49">
        <f>-'Cultures de couverture'!E9+Saisies!B53*Saisies!B54+Saisies!B70</f>
        <v>-251.45999999999998</v>
      </c>
      <c r="G29" s="53">
        <f>'Intermédiaire_Prod-Résultats'!AE32</f>
        <v>820.62382000000002</v>
      </c>
      <c r="H29" s="54">
        <f>'Intermédiaire_Prod-Résultats'!AW32</f>
        <v>-249.59060000000022</v>
      </c>
      <c r="I29" s="50">
        <f>'Intermédiaire_Prod-Résultats'!AN32</f>
        <v>-573.3775999999998</v>
      </c>
      <c r="J29" s="50">
        <f>'Intermédiaire_Prod-Résultats'!AH32</f>
        <v>130.11869999999999</v>
      </c>
      <c r="K29" s="50">
        <f>-'Cultures de couverture'!E9+Saisies!B53*Saisies!B54+Saisies!B70</f>
        <v>-251.45999999999998</v>
      </c>
      <c r="L29" s="50">
        <f>'Intermédiaire_Prod-Résultats'!BF32</f>
        <v>820.62382000000002</v>
      </c>
      <c r="M29" s="54">
        <f>'Intermédiaire_Prod-Résultats'!BX32</f>
        <v>-249.59060000000022</v>
      </c>
      <c r="N29" s="50">
        <f>'Intermédiaire_Prod-Résultats'!BO32</f>
        <v>-573.3775999999998</v>
      </c>
      <c r="O29" s="50">
        <f>'Intermédiaire_Prod-Résultats'!BI32</f>
        <v>130.11869999999999</v>
      </c>
      <c r="P29" s="50">
        <f>-'Cultures de couverture'!E9+Saisies!B53*Saisies!B54+Saisies!B70</f>
        <v>-251.45999999999998</v>
      </c>
      <c r="Q29" s="46" t="s">
        <v>122</v>
      </c>
      <c r="R29" s="46" t="s">
        <v>122</v>
      </c>
      <c r="S29" s="46" t="s">
        <v>122</v>
      </c>
      <c r="T29" s="51">
        <f t="shared" si="3"/>
        <v>-24.737136000000007</v>
      </c>
      <c r="V29" s="15" t="str">
        <f t="shared" si="5"/>
        <v>CHANVRE - SEIGLE - AVOINE - SARRASIN - ENGRAIS VERTS</v>
      </c>
      <c r="W29" s="52">
        <f>'Intermédiaire_Prod-Résultats'!E32</f>
        <v>820.62382000000002</v>
      </c>
      <c r="X29" s="53">
        <f>'Intermédiaire_Prod-Résultats'!W32</f>
        <v>-249.59060000000022</v>
      </c>
      <c r="Y29" s="53">
        <f>'Intermédiaire_Prod-Résultats'!N32</f>
        <v>-573.3775999999998</v>
      </c>
      <c r="Z29" s="53">
        <f>'Intermédiaire_Prod-Résultats'!H32</f>
        <v>130.11869999999999</v>
      </c>
      <c r="AA29" s="49">
        <f>-'Cultures de couverture'!$E$9+(IF(Saisies!$C$53="",Saisies!$B$53,Saisies!$C$53)*IF(Saisies!$C$54="",Saisies!$B$54,Saisies!$C$54))+IF(Saisies!$C$70="",Saisies!$B$70,Saisies!$C$70)</f>
        <v>-251.45999999999998</v>
      </c>
      <c r="AB29" s="53">
        <f>'Intermédiaire_Prod-Résultats'!AF32</f>
        <v>820.62382000000002</v>
      </c>
      <c r="AC29" s="54">
        <f>'Intermédiaire_Prod-Résultats'!AX32</f>
        <v>-249.59060000000022</v>
      </c>
      <c r="AD29" s="50">
        <f>'Intermédiaire_Prod-Résultats'!AO32</f>
        <v>-573.3775999999998</v>
      </c>
      <c r="AE29" s="50">
        <f>'Intermédiaire_Prod-Résultats'!AI32</f>
        <v>130.11869999999999</v>
      </c>
      <c r="AF29" s="50">
        <f>-'Cultures de couverture'!$E$9+(IF(Saisies!$C$53="",Saisies!$B$53,Saisies!$C$53)*IF(Saisies!$C$54="",Saisies!$B$54,Saisies!$C$54))+IF(Saisies!$C$70="",Saisies!$B$70,Saisies!$C$70)</f>
        <v>-251.45999999999998</v>
      </c>
      <c r="AG29" s="50">
        <f>'Intermédiaire_Prod-Résultats'!BG32</f>
        <v>820.62382000000002</v>
      </c>
      <c r="AH29" s="54">
        <f>'Intermédiaire_Prod-Résultats'!BY32</f>
        <v>-249.59060000000022</v>
      </c>
      <c r="AI29" s="50">
        <f>'Intermédiaire_Prod-Résultats'!BP32</f>
        <v>-573.3775999999998</v>
      </c>
      <c r="AJ29" s="50">
        <f>'Intermédiaire_Prod-Résultats'!BJ32</f>
        <v>130.11869999999999</v>
      </c>
      <c r="AK29" s="50">
        <f>-'Cultures de couverture'!$E$9+(IF(Saisies!$C$53="",Saisies!$B$53,Saisies!$C$53)*IF(Saisies!$C$54="",Saisies!$B$54,Saisies!$C$54))+IF(Saisies!$C$70="",Saisies!$B$70,Saisies!$C$70)</f>
        <v>-251.45999999999998</v>
      </c>
      <c r="AL29" s="46" t="s">
        <v>122</v>
      </c>
      <c r="AM29" s="46" t="s">
        <v>122</v>
      </c>
      <c r="AN29" s="46" t="s">
        <v>122</v>
      </c>
      <c r="AO29" s="51">
        <f t="shared" si="6"/>
        <v>-24.737136000000007</v>
      </c>
      <c r="AP29" s="3"/>
    </row>
    <row r="30" spans="1:42" x14ac:dyDescent="0.25">
      <c r="A30" s="15" t="str">
        <f t="shared" si="4"/>
        <v>CHANVRE - SEIGLE HYBRIDE D'AUTOMNE - AVOINE - SARRASIN - ENGRAIS VERTS</v>
      </c>
      <c r="B30" s="52">
        <f>'Intermédiaire_Prod-Résultats'!D32</f>
        <v>820.62382000000002</v>
      </c>
      <c r="C30" s="53">
        <f>'Intermédiaire_Prod-Résultats'!Y32</f>
        <v>695.84629999999993</v>
      </c>
      <c r="D30" s="53">
        <f>'Intermédiaire_Prod-Résultats'!M32</f>
        <v>-573.3775999999998</v>
      </c>
      <c r="E30" s="53">
        <f>'Intermédiaire_Prod-Résultats'!G32</f>
        <v>130.11869999999999</v>
      </c>
      <c r="F30" s="49">
        <f>-'Cultures de couverture'!E9+Saisies!B53*Saisies!B54+Saisies!B70</f>
        <v>-251.45999999999998</v>
      </c>
      <c r="G30" s="53">
        <f>'Intermédiaire_Prod-Résultats'!AE32</f>
        <v>820.62382000000002</v>
      </c>
      <c r="H30" s="54">
        <f>'Intermédiaire_Prod-Résultats'!AZ32</f>
        <v>695.84629999999993</v>
      </c>
      <c r="I30" s="50">
        <f>'Intermédiaire_Prod-Résultats'!AN32</f>
        <v>-573.3775999999998</v>
      </c>
      <c r="J30" s="50">
        <f>'Intermédiaire_Prod-Résultats'!AH32</f>
        <v>130.11869999999999</v>
      </c>
      <c r="K30" s="50">
        <f>-'Cultures de couverture'!E9+Saisies!B53*Saisies!B54+Saisies!B70</f>
        <v>-251.45999999999998</v>
      </c>
      <c r="L30" s="50">
        <f>'Intermédiaire_Prod-Résultats'!BF32</f>
        <v>820.62382000000002</v>
      </c>
      <c r="M30" s="54">
        <f>'Intermédiaire_Prod-Résultats'!CA32</f>
        <v>695.84629999999993</v>
      </c>
      <c r="N30" s="50">
        <f>'Intermédiaire_Prod-Résultats'!BO32</f>
        <v>-573.3775999999998</v>
      </c>
      <c r="O30" s="50">
        <f>'Intermédiaire_Prod-Résultats'!BI32</f>
        <v>130.11869999999999</v>
      </c>
      <c r="P30" s="50">
        <f>-'Cultures de couverture'!E9+Saisies!B53*Saisies!B54+Saisies!B70</f>
        <v>-251.45999999999998</v>
      </c>
      <c r="Q30" s="46" t="s">
        <v>122</v>
      </c>
      <c r="R30" s="46" t="s">
        <v>122</v>
      </c>
      <c r="S30" s="46" t="s">
        <v>122</v>
      </c>
      <c r="T30" s="51">
        <f t="shared" si="3"/>
        <v>164.35024400000003</v>
      </c>
      <c r="V30" s="15" t="str">
        <f t="shared" si="5"/>
        <v>CHANVRE - SEIGLE HYBRIDE D'AUTOMNE - AVOINE - SARRASIN - ENGRAIS VERTS</v>
      </c>
      <c r="W30" s="52">
        <f>'Intermédiaire_Prod-Résultats'!E32</f>
        <v>820.62382000000002</v>
      </c>
      <c r="X30" s="53">
        <f>'Intermédiaire_Prod-Résultats'!Z32</f>
        <v>695.84629999999993</v>
      </c>
      <c r="Y30" s="53">
        <f>'Intermédiaire_Prod-Résultats'!N32</f>
        <v>-573.3775999999998</v>
      </c>
      <c r="Z30" s="53">
        <f>'Intermédiaire_Prod-Résultats'!H32</f>
        <v>130.11869999999999</v>
      </c>
      <c r="AA30" s="49">
        <f>-'Cultures de couverture'!$E$9+(IF(Saisies!$C$53="",Saisies!$B$53,Saisies!$C$53)*IF(Saisies!$C$54="",Saisies!$B$54,Saisies!$C$54))+IF(Saisies!$C$70="",Saisies!$B$70,Saisies!$C$70)</f>
        <v>-251.45999999999998</v>
      </c>
      <c r="AB30" s="53">
        <f>'Intermédiaire_Prod-Résultats'!AF32</f>
        <v>820.62382000000002</v>
      </c>
      <c r="AC30" s="54">
        <f>'Intermédiaire_Prod-Résultats'!BA32</f>
        <v>695.84629999999993</v>
      </c>
      <c r="AD30" s="50">
        <f>'Intermédiaire_Prod-Résultats'!AO32</f>
        <v>-573.3775999999998</v>
      </c>
      <c r="AE30" s="50">
        <f>'Intermédiaire_Prod-Résultats'!AI32</f>
        <v>130.11869999999999</v>
      </c>
      <c r="AF30" s="50">
        <f>-'Cultures de couverture'!$E$9+(IF(Saisies!$C$53="",Saisies!$B$53,Saisies!$C$53)*IF(Saisies!$C$54="",Saisies!$B$54,Saisies!$C$54))+IF(Saisies!$C$70="",Saisies!$B$70,Saisies!$C$70)</f>
        <v>-251.45999999999998</v>
      </c>
      <c r="AG30" s="50">
        <f>'Intermédiaire_Prod-Résultats'!BG32</f>
        <v>820.62382000000002</v>
      </c>
      <c r="AH30" s="54">
        <f>'Intermédiaire_Prod-Résultats'!CB32</f>
        <v>695.84629999999993</v>
      </c>
      <c r="AI30" s="50">
        <f>'Intermédiaire_Prod-Résultats'!BP32</f>
        <v>-573.3775999999998</v>
      </c>
      <c r="AJ30" s="50">
        <f>'Intermédiaire_Prod-Résultats'!BJ32</f>
        <v>130.11869999999999</v>
      </c>
      <c r="AK30" s="50">
        <f>-'Cultures de couverture'!$E$9+(IF(Saisies!$C$53="",Saisies!$B$53,Saisies!$C$53)*IF(Saisies!$C$54="",Saisies!$B$54,Saisies!$C$54))+IF(Saisies!$C$70="",Saisies!$B$70,Saisies!$C$70)</f>
        <v>-251.45999999999998</v>
      </c>
      <c r="AL30" s="46" t="s">
        <v>122</v>
      </c>
      <c r="AM30" s="46" t="s">
        <v>122</v>
      </c>
      <c r="AN30" s="46" t="s">
        <v>122</v>
      </c>
      <c r="AO30" s="51">
        <f t="shared" si="6"/>
        <v>164.35024400000003</v>
      </c>
      <c r="AP30" s="3"/>
    </row>
    <row r="31" spans="1:42" x14ac:dyDescent="0.25">
      <c r="A31" s="15" t="str">
        <f t="shared" si="4"/>
        <v>BLÉ DE PRINTEMPS PANIFIABLE - AVOINE - BLÉ DE PRINTEMPS PANIFIABLE - PRAIRIE (2 ANS)</v>
      </c>
      <c r="B31" s="52">
        <f>'Intermédiaire_Prod-Résultats'!S32</f>
        <v>-35.754300000000057</v>
      </c>
      <c r="C31" s="53">
        <f>'Intermédiaire_Prod-Résultats'!M32</f>
        <v>-573.3775999999998</v>
      </c>
      <c r="D31" s="53">
        <f>'Intermédiaire_Prod-Résultats'!S32</f>
        <v>-35.754300000000057</v>
      </c>
      <c r="E31" s="53">
        <f>'Intermédiaire_Prod-Résultats'!AB32</f>
        <v>-552.18129999999996</v>
      </c>
      <c r="F31" s="53">
        <f>'Intermédiaire_Prod-Résultats'!AB32</f>
        <v>-552.18129999999996</v>
      </c>
      <c r="G31" s="53">
        <f>'Intermédiaire_Prod-Résultats'!AT32</f>
        <v>-35.754300000000057</v>
      </c>
      <c r="H31" s="54">
        <f>'Intermédiaire_Prod-Résultats'!AN32</f>
        <v>-573.3775999999998</v>
      </c>
      <c r="I31" s="54">
        <f>'Intermédiaire_Prod-Résultats'!AT32</f>
        <v>-35.754300000000057</v>
      </c>
      <c r="J31" s="54">
        <f>'Intermédiaire_Prod-Résultats'!BC32</f>
        <v>-534.68129999999996</v>
      </c>
      <c r="K31" s="54">
        <f>'Intermédiaire_Prod-Résultats'!BC32</f>
        <v>-534.68129999999996</v>
      </c>
      <c r="L31" s="54">
        <f>'Intermédiaire_Prod-Résultats'!BU32</f>
        <v>-35.754300000000057</v>
      </c>
      <c r="M31" s="54">
        <f>'Intermédiaire_Prod-Résultats'!BO32</f>
        <v>-573.3775999999998</v>
      </c>
      <c r="N31" s="55">
        <f>'Intermédiaire_Prod-Résultats'!BU32</f>
        <v>-35.754300000000057</v>
      </c>
      <c r="O31" s="55">
        <f>'Intermédiaire_Prod-Résultats'!CD32</f>
        <v>-517.18129999999996</v>
      </c>
      <c r="P31" s="55">
        <f>'Intermédiaire_Prod-Résultats'!CD32</f>
        <v>-517.18129999999996</v>
      </c>
      <c r="Q31" s="46" t="s">
        <v>122</v>
      </c>
      <c r="R31" s="46" t="s">
        <v>122</v>
      </c>
      <c r="S31" s="46" t="s">
        <v>122</v>
      </c>
      <c r="T31" s="51">
        <f t="shared" si="3"/>
        <v>-342.84976</v>
      </c>
      <c r="V31" s="15" t="str">
        <f t="shared" si="5"/>
        <v>BLÉ DE PRINTEMPS PANIFIABLE - AVOINE - BLÉ DE PRINTEMPS PANIFIABLE - PRAIRIE (2 ANS)</v>
      </c>
      <c r="W31" s="52">
        <f>'Intermédiaire_Prod-Résultats'!T32</f>
        <v>-35.754300000000057</v>
      </c>
      <c r="X31" s="53">
        <f>'Intermédiaire_Prod-Résultats'!N32</f>
        <v>-573.3775999999998</v>
      </c>
      <c r="Y31" s="53">
        <f>'Intermédiaire_Prod-Résultats'!T32</f>
        <v>-35.754300000000057</v>
      </c>
      <c r="Z31" s="53">
        <f>'Intermédiaire_Prod-Résultats'!AC32</f>
        <v>-552.18129999999996</v>
      </c>
      <c r="AA31" s="53">
        <f>'Intermédiaire_Prod-Résultats'!AC32</f>
        <v>-552.18129999999996</v>
      </c>
      <c r="AB31" s="53">
        <f>'Intermédiaire_Prod-Résultats'!AU32</f>
        <v>-35.754300000000057</v>
      </c>
      <c r="AC31" s="54">
        <f>'Intermédiaire_Prod-Résultats'!AO32</f>
        <v>-573.3775999999998</v>
      </c>
      <c r="AD31" s="54">
        <f>'Intermédiaire_Prod-Résultats'!AU32</f>
        <v>-35.754300000000057</v>
      </c>
      <c r="AE31" s="54">
        <f>'Intermédiaire_Prod-Résultats'!BD32</f>
        <v>-534.68129999999996</v>
      </c>
      <c r="AF31" s="54">
        <f>'Intermédiaire_Prod-Résultats'!BD32</f>
        <v>-534.68129999999996</v>
      </c>
      <c r="AG31" s="54">
        <f>'Intermédiaire_Prod-Résultats'!BV32</f>
        <v>-35.754300000000057</v>
      </c>
      <c r="AH31" s="54">
        <f>'Intermédiaire_Prod-Résultats'!BP32</f>
        <v>-573.3775999999998</v>
      </c>
      <c r="AI31" s="55">
        <f>'Intermédiaire_Prod-Résultats'!BV32</f>
        <v>-35.754300000000057</v>
      </c>
      <c r="AJ31" s="55">
        <f>'Intermédiaire_Prod-Résultats'!CE32</f>
        <v>-517.18129999999996</v>
      </c>
      <c r="AK31" s="55">
        <f>'Intermédiaire_Prod-Résultats'!CE32</f>
        <v>-517.18129999999996</v>
      </c>
      <c r="AL31" s="46" t="s">
        <v>122</v>
      </c>
      <c r="AM31" s="46" t="s">
        <v>122</v>
      </c>
      <c r="AN31" s="46" t="s">
        <v>122</v>
      </c>
      <c r="AO31" s="51">
        <f t="shared" si="6"/>
        <v>-342.84976</v>
      </c>
      <c r="AP31" s="3"/>
    </row>
    <row r="32" spans="1:42" x14ac:dyDescent="0.25">
      <c r="A32" s="15" t="str">
        <f t="shared" si="4"/>
        <v>BLÉ D'AUTOMNE PANIFIABLE - AVOINE - BLÉ DE PRINTEMPS PANIFIABLE- PRAIRIES (2 ANS)</v>
      </c>
      <c r="B32" s="52">
        <f>'Intermédiaire_Prod-Résultats'!P32</f>
        <v>379.33750899999973</v>
      </c>
      <c r="C32" s="53">
        <f>'Intermédiaire_Prod-Résultats'!M32</f>
        <v>-573.3775999999998</v>
      </c>
      <c r="D32" s="53">
        <f>'Intermédiaire_Prod-Résultats'!S32</f>
        <v>-35.754300000000057</v>
      </c>
      <c r="E32" s="53">
        <f>'Intermédiaire_Prod-Résultats'!AB32</f>
        <v>-552.18129999999996</v>
      </c>
      <c r="F32" s="53">
        <f>'Intermédiaire_Prod-Résultats'!AB32</f>
        <v>-552.18129999999996</v>
      </c>
      <c r="G32" s="53">
        <f>'Intermédiaire_Prod-Résultats'!AQ32</f>
        <v>379.33750899999973</v>
      </c>
      <c r="H32" s="54">
        <f>'Intermédiaire_Prod-Résultats'!AN32</f>
        <v>-573.3775999999998</v>
      </c>
      <c r="I32" s="54">
        <f>'Intermédiaire_Prod-Résultats'!AT32</f>
        <v>-35.754300000000057</v>
      </c>
      <c r="J32" s="54">
        <f>'Intermédiaire_Prod-Résultats'!BC32</f>
        <v>-534.68129999999996</v>
      </c>
      <c r="K32" s="54">
        <f>'Intermédiaire_Prod-Résultats'!BC32</f>
        <v>-534.68129999999996</v>
      </c>
      <c r="L32" s="54">
        <f>'Intermédiaire_Prod-Résultats'!BR32</f>
        <v>379.33750899999973</v>
      </c>
      <c r="M32" s="54">
        <f>'Intermédiaire_Prod-Résultats'!BO32</f>
        <v>-573.3775999999998</v>
      </c>
      <c r="N32" s="55">
        <f>'Intermédiaire_Prod-Résultats'!BU32</f>
        <v>-35.754300000000057</v>
      </c>
      <c r="O32" s="55">
        <f>'Intermédiaire_Prod-Résultats'!CD32</f>
        <v>-517.18129999999996</v>
      </c>
      <c r="P32" s="55">
        <f>'Intermédiaire_Prod-Résultats'!CD32</f>
        <v>-517.18129999999996</v>
      </c>
      <c r="Q32" s="56" t="s">
        <v>122</v>
      </c>
      <c r="R32" s="56" t="s">
        <v>122</v>
      </c>
      <c r="S32" s="56" t="s">
        <v>122</v>
      </c>
      <c r="T32" s="51">
        <f t="shared" si="3"/>
        <v>-259.83139820000002</v>
      </c>
      <c r="V32" s="15" t="str">
        <f t="shared" si="5"/>
        <v>BLÉ D'AUTOMNE PANIFIABLE - AVOINE - BLÉ DE PRINTEMPS PANIFIABLE- PRAIRIES (2 ANS)</v>
      </c>
      <c r="W32" s="52">
        <f>'Intermédiaire_Prod-Résultats'!Q32</f>
        <v>379.33750899999973</v>
      </c>
      <c r="X32" s="53">
        <f>'Intermédiaire_Prod-Résultats'!N32</f>
        <v>-573.3775999999998</v>
      </c>
      <c r="Y32" s="53">
        <f>'Intermédiaire_Prod-Résultats'!T32</f>
        <v>-35.754300000000057</v>
      </c>
      <c r="Z32" s="53">
        <f>'Intermédiaire_Prod-Résultats'!AC32</f>
        <v>-552.18129999999996</v>
      </c>
      <c r="AA32" s="53">
        <f>'Intermédiaire_Prod-Résultats'!AC32</f>
        <v>-552.18129999999996</v>
      </c>
      <c r="AB32" s="53">
        <f>'Intermédiaire_Prod-Résultats'!AR32</f>
        <v>379.33750899999973</v>
      </c>
      <c r="AC32" s="54">
        <f>'Intermédiaire_Prod-Résultats'!AO32</f>
        <v>-573.3775999999998</v>
      </c>
      <c r="AD32" s="54">
        <f>'Intermédiaire_Prod-Résultats'!AU32</f>
        <v>-35.754300000000057</v>
      </c>
      <c r="AE32" s="54">
        <f>'Intermédiaire_Prod-Résultats'!BD32</f>
        <v>-534.68129999999996</v>
      </c>
      <c r="AF32" s="54">
        <f>'Intermédiaire_Prod-Résultats'!BD32</f>
        <v>-534.68129999999996</v>
      </c>
      <c r="AG32" s="54">
        <f>'Intermédiaire_Prod-Résultats'!BS32</f>
        <v>379.33750899999973</v>
      </c>
      <c r="AH32" s="54">
        <f>'Intermédiaire_Prod-Résultats'!BP32</f>
        <v>-573.3775999999998</v>
      </c>
      <c r="AI32" s="55">
        <f>'Intermédiaire_Prod-Résultats'!BV32</f>
        <v>-35.754300000000057</v>
      </c>
      <c r="AJ32" s="55">
        <f>'Intermédiaire_Prod-Résultats'!CE32</f>
        <v>-517.18129999999996</v>
      </c>
      <c r="AK32" s="55">
        <f>'Intermédiaire_Prod-Résultats'!CE32</f>
        <v>-517.18129999999996</v>
      </c>
      <c r="AL32" s="56" t="s">
        <v>122</v>
      </c>
      <c r="AM32" s="56" t="s">
        <v>122</v>
      </c>
      <c r="AN32" s="56" t="s">
        <v>122</v>
      </c>
      <c r="AO32" s="51">
        <f t="shared" si="6"/>
        <v>-259.83139820000002</v>
      </c>
      <c r="AP32" s="3"/>
    </row>
    <row r="33" spans="1:42" x14ac:dyDescent="0.25">
      <c r="A33" s="15" t="str">
        <f t="shared" si="4"/>
        <v>ORGE - AVOINE - BLÉ DE PRINTEMPS PANIFIABLE - PRAIRIES (2 ANS)</v>
      </c>
      <c r="B33" s="52">
        <f>'Intermédiaire_Prod-Résultats'!J32</f>
        <v>-196.59989999999982</v>
      </c>
      <c r="C33" s="53">
        <f>'Intermédiaire_Prod-Résultats'!M32</f>
        <v>-573.3775999999998</v>
      </c>
      <c r="D33" s="53">
        <f>'Intermédiaire_Prod-Résultats'!S32</f>
        <v>-35.754300000000057</v>
      </c>
      <c r="E33" s="53">
        <f>'Intermédiaire_Prod-Résultats'!AB32</f>
        <v>-552.18129999999996</v>
      </c>
      <c r="F33" s="53">
        <f>'Intermédiaire_Prod-Résultats'!AB32</f>
        <v>-552.18129999999996</v>
      </c>
      <c r="G33" s="53">
        <f>'Intermédiaire_Prod-Résultats'!AK32</f>
        <v>-196.59989999999982</v>
      </c>
      <c r="H33" s="54">
        <f>'Intermédiaire_Prod-Résultats'!AN32</f>
        <v>-573.3775999999998</v>
      </c>
      <c r="I33" s="54">
        <f>'Intermédiaire_Prod-Résultats'!AT32</f>
        <v>-35.754300000000057</v>
      </c>
      <c r="J33" s="54">
        <f>'Intermédiaire_Prod-Résultats'!BC32</f>
        <v>-534.68129999999996</v>
      </c>
      <c r="K33" s="54">
        <f>'Intermédiaire_Prod-Résultats'!BC32</f>
        <v>-534.68129999999996</v>
      </c>
      <c r="L33" s="54">
        <f>'Intermédiaire_Prod-Résultats'!BL32</f>
        <v>-196.59989999999982</v>
      </c>
      <c r="M33" s="54">
        <f>'Intermédiaire_Prod-Résultats'!BO32</f>
        <v>-573.3775999999998</v>
      </c>
      <c r="N33" s="55">
        <f>'Intermédiaire_Prod-Résultats'!BU32</f>
        <v>-35.754300000000057</v>
      </c>
      <c r="O33" s="55">
        <f>'Intermédiaire_Prod-Résultats'!CD32</f>
        <v>-517.18129999999996</v>
      </c>
      <c r="P33" s="55">
        <f>'Intermédiaire_Prod-Résultats'!CD32</f>
        <v>-517.18129999999996</v>
      </c>
      <c r="Q33" s="46" t="s">
        <v>122</v>
      </c>
      <c r="R33" s="46" t="s">
        <v>122</v>
      </c>
      <c r="S33" s="46" t="s">
        <v>122</v>
      </c>
      <c r="T33" s="51">
        <f t="shared" si="3"/>
        <v>-375.01887999999997</v>
      </c>
      <c r="V33" s="15" t="str">
        <f t="shared" si="5"/>
        <v>ORGE - AVOINE - BLÉ DE PRINTEMPS PANIFIABLE - PRAIRIES (2 ANS)</v>
      </c>
      <c r="W33" s="52">
        <f>'Intermédiaire_Prod-Résultats'!K32</f>
        <v>-196.59989999999982</v>
      </c>
      <c r="X33" s="53">
        <f>'Intermédiaire_Prod-Résultats'!N32</f>
        <v>-573.3775999999998</v>
      </c>
      <c r="Y33" s="53">
        <f>'Intermédiaire_Prod-Résultats'!T32</f>
        <v>-35.754300000000057</v>
      </c>
      <c r="Z33" s="53">
        <f>'Intermédiaire_Prod-Résultats'!AC32</f>
        <v>-552.18129999999996</v>
      </c>
      <c r="AA33" s="53">
        <f>'Intermédiaire_Prod-Résultats'!AC32</f>
        <v>-552.18129999999996</v>
      </c>
      <c r="AB33" s="53">
        <f>'Intermédiaire_Prod-Résultats'!AL32</f>
        <v>-196.59989999999982</v>
      </c>
      <c r="AC33" s="54">
        <f>'Intermédiaire_Prod-Résultats'!AO32</f>
        <v>-573.3775999999998</v>
      </c>
      <c r="AD33" s="54">
        <f>'Intermédiaire_Prod-Résultats'!AU32</f>
        <v>-35.754300000000057</v>
      </c>
      <c r="AE33" s="54">
        <f>'Intermédiaire_Prod-Résultats'!BD32</f>
        <v>-534.68129999999996</v>
      </c>
      <c r="AF33" s="54">
        <f>'Intermédiaire_Prod-Résultats'!BD32</f>
        <v>-534.68129999999996</v>
      </c>
      <c r="AG33" s="54">
        <f>'Intermédiaire_Prod-Résultats'!BM32</f>
        <v>-196.59989999999982</v>
      </c>
      <c r="AH33" s="54">
        <f>'Intermédiaire_Prod-Résultats'!BP32</f>
        <v>-573.3775999999998</v>
      </c>
      <c r="AI33" s="55">
        <f>'Intermédiaire_Prod-Résultats'!BV32</f>
        <v>-35.754300000000057</v>
      </c>
      <c r="AJ33" s="55">
        <f>'Intermédiaire_Prod-Résultats'!CE32</f>
        <v>-517.18129999999996</v>
      </c>
      <c r="AK33" s="55">
        <f>'Intermédiaire_Prod-Résultats'!CE32</f>
        <v>-517.18129999999996</v>
      </c>
      <c r="AL33" s="46" t="s">
        <v>122</v>
      </c>
      <c r="AM33" s="46" t="s">
        <v>122</v>
      </c>
      <c r="AN33" s="46" t="s">
        <v>122</v>
      </c>
      <c r="AO33" s="51">
        <f t="shared" si="6"/>
        <v>-375.01887999999997</v>
      </c>
      <c r="AP33" s="3"/>
    </row>
    <row r="34" spans="1:42" x14ac:dyDescent="0.25">
      <c r="A34" s="15" t="str">
        <f t="shared" si="4"/>
        <v>SEIGLE - AVOINE - BLÉ DE PRINTEMPS PANIFIABLE - PRAIRIES (2 ANS)</v>
      </c>
      <c r="B34" s="52">
        <f>'Intermédiaire_Prod-Résultats'!V32</f>
        <v>-249.59060000000022</v>
      </c>
      <c r="C34" s="53">
        <f>'Intermédiaire_Prod-Résultats'!M32</f>
        <v>-573.3775999999998</v>
      </c>
      <c r="D34" s="53">
        <f>'Intermédiaire_Prod-Résultats'!S32</f>
        <v>-35.754300000000057</v>
      </c>
      <c r="E34" s="53">
        <f>'Intermédiaire_Prod-Résultats'!AB32</f>
        <v>-552.18129999999996</v>
      </c>
      <c r="F34" s="53">
        <f>'Intermédiaire_Prod-Résultats'!AB32</f>
        <v>-552.18129999999996</v>
      </c>
      <c r="G34" s="53">
        <f>'Intermédiaire_Prod-Résultats'!AW32</f>
        <v>-249.59060000000022</v>
      </c>
      <c r="H34" s="54">
        <f>'Intermédiaire_Prod-Résultats'!AN32</f>
        <v>-573.3775999999998</v>
      </c>
      <c r="I34" s="54">
        <f>'Intermédiaire_Prod-Résultats'!AT32</f>
        <v>-35.754300000000057</v>
      </c>
      <c r="J34" s="54">
        <f>'Intermédiaire_Prod-Résultats'!BC32</f>
        <v>-534.68129999999996</v>
      </c>
      <c r="K34" s="54">
        <f>'Intermédiaire_Prod-Résultats'!BC32</f>
        <v>-534.68129999999996</v>
      </c>
      <c r="L34" s="54">
        <f>'Intermédiaire_Prod-Résultats'!BX32</f>
        <v>-249.59060000000022</v>
      </c>
      <c r="M34" s="54">
        <f>'Intermédiaire_Prod-Résultats'!BO32</f>
        <v>-573.3775999999998</v>
      </c>
      <c r="N34" s="55">
        <f>'Intermédiaire_Prod-Résultats'!BU32</f>
        <v>-35.754300000000057</v>
      </c>
      <c r="O34" s="55">
        <f>'Intermédiaire_Prod-Résultats'!CD32</f>
        <v>-517.18129999999996</v>
      </c>
      <c r="P34" s="55">
        <f>'Intermédiaire_Prod-Résultats'!CD32</f>
        <v>-517.18129999999996</v>
      </c>
      <c r="Q34" s="46" t="s">
        <v>122</v>
      </c>
      <c r="R34" s="46" t="s">
        <v>122</v>
      </c>
      <c r="S34" s="46" t="s">
        <v>122</v>
      </c>
      <c r="T34" s="51">
        <f t="shared" si="3"/>
        <v>-385.61702000000002</v>
      </c>
      <c r="V34" s="15" t="str">
        <f t="shared" si="5"/>
        <v>SEIGLE - AVOINE - BLÉ DE PRINTEMPS PANIFIABLE - PRAIRIES (2 ANS)</v>
      </c>
      <c r="W34" s="52">
        <f>'Intermédiaire_Prod-Résultats'!W32</f>
        <v>-249.59060000000022</v>
      </c>
      <c r="X34" s="53">
        <f>'Intermédiaire_Prod-Résultats'!N32</f>
        <v>-573.3775999999998</v>
      </c>
      <c r="Y34" s="53">
        <f>'Intermédiaire_Prod-Résultats'!T32</f>
        <v>-35.754300000000057</v>
      </c>
      <c r="Z34" s="53">
        <f>'Intermédiaire_Prod-Résultats'!AC32</f>
        <v>-552.18129999999996</v>
      </c>
      <c r="AA34" s="53">
        <f>'Intermédiaire_Prod-Résultats'!AC32</f>
        <v>-552.18129999999996</v>
      </c>
      <c r="AB34" s="53">
        <f>'Intermédiaire_Prod-Résultats'!AX32</f>
        <v>-249.59060000000022</v>
      </c>
      <c r="AC34" s="54">
        <f>'Intermédiaire_Prod-Résultats'!AO32</f>
        <v>-573.3775999999998</v>
      </c>
      <c r="AD34" s="54">
        <f>'Intermédiaire_Prod-Résultats'!AU32</f>
        <v>-35.754300000000057</v>
      </c>
      <c r="AE34" s="54">
        <f>'Intermédiaire_Prod-Résultats'!BD32</f>
        <v>-534.68129999999996</v>
      </c>
      <c r="AF34" s="54">
        <f>'Intermédiaire_Prod-Résultats'!BD32</f>
        <v>-534.68129999999996</v>
      </c>
      <c r="AG34" s="54">
        <f>'Intermédiaire_Prod-Résultats'!BY32</f>
        <v>-249.59060000000022</v>
      </c>
      <c r="AH34" s="54">
        <f>'Intermédiaire_Prod-Résultats'!BP32</f>
        <v>-573.3775999999998</v>
      </c>
      <c r="AI34" s="55">
        <f>'Intermédiaire_Prod-Résultats'!BV32</f>
        <v>-35.754300000000057</v>
      </c>
      <c r="AJ34" s="55">
        <f>'Intermédiaire_Prod-Résultats'!CE32</f>
        <v>-517.18129999999996</v>
      </c>
      <c r="AK34" s="55">
        <f>'Intermédiaire_Prod-Résultats'!CE32</f>
        <v>-517.18129999999996</v>
      </c>
      <c r="AL34" s="46" t="s">
        <v>122</v>
      </c>
      <c r="AM34" s="46" t="s">
        <v>122</v>
      </c>
      <c r="AN34" s="46" t="s">
        <v>122</v>
      </c>
      <c r="AO34" s="51">
        <f t="shared" si="6"/>
        <v>-385.61702000000002</v>
      </c>
      <c r="AP34" s="3"/>
    </row>
    <row r="35" spans="1:42" x14ac:dyDescent="0.25">
      <c r="A35" s="15" t="str">
        <f t="shared" si="4"/>
        <v>SEIGLE HYBRIDE D'AUTOMNE- AVOINE - BLÉ DE PRINTEMPS PANIFIABLE - PRAIRIES (2 ANS)</v>
      </c>
      <c r="B35" s="52">
        <f>'Intermédiaire_Prod-Résultats'!Y32</f>
        <v>695.84629999999993</v>
      </c>
      <c r="C35" s="53">
        <f>'Intermédiaire_Prod-Résultats'!M32</f>
        <v>-573.3775999999998</v>
      </c>
      <c r="D35" s="53">
        <f>'Intermédiaire_Prod-Résultats'!S32</f>
        <v>-35.754300000000057</v>
      </c>
      <c r="E35" s="53">
        <f>'Intermédiaire_Prod-Résultats'!AB32</f>
        <v>-552.18129999999996</v>
      </c>
      <c r="F35" s="53">
        <f>'Intermédiaire_Prod-Résultats'!AB32</f>
        <v>-552.18129999999996</v>
      </c>
      <c r="G35" s="53">
        <f>'Intermédiaire_Prod-Résultats'!AZ32</f>
        <v>695.84629999999993</v>
      </c>
      <c r="H35" s="54">
        <f>'Intermédiaire_Prod-Résultats'!AN32</f>
        <v>-573.3775999999998</v>
      </c>
      <c r="I35" s="54">
        <f>'Intermédiaire_Prod-Résultats'!AT32</f>
        <v>-35.754300000000057</v>
      </c>
      <c r="J35" s="54">
        <f>'Intermédiaire_Prod-Résultats'!BC32</f>
        <v>-534.68129999999996</v>
      </c>
      <c r="K35" s="54">
        <f>'Intermédiaire_Prod-Résultats'!BC32</f>
        <v>-534.68129999999996</v>
      </c>
      <c r="L35" s="54">
        <f>'Intermédiaire_Prod-Résultats'!CA32</f>
        <v>695.84629999999993</v>
      </c>
      <c r="M35" s="54">
        <f>'Intermédiaire_Prod-Résultats'!BO32</f>
        <v>-573.3775999999998</v>
      </c>
      <c r="N35" s="55">
        <f>'Intermédiaire_Prod-Résultats'!BU32</f>
        <v>-35.754300000000057</v>
      </c>
      <c r="O35" s="55">
        <f>'Intermédiaire_Prod-Résultats'!CD32</f>
        <v>-517.18129999999996</v>
      </c>
      <c r="P35" s="55">
        <f>'Intermédiaire_Prod-Résultats'!CD32</f>
        <v>-517.18129999999996</v>
      </c>
      <c r="Q35" s="46" t="s">
        <v>122</v>
      </c>
      <c r="R35" s="46" t="s">
        <v>122</v>
      </c>
      <c r="S35" s="46" t="s">
        <v>122</v>
      </c>
      <c r="T35" s="51">
        <f t="shared" si="3"/>
        <v>-196.52964</v>
      </c>
      <c r="V35" s="15" t="str">
        <f t="shared" si="5"/>
        <v>SEIGLE HYBRIDE D'AUTOMNE- AVOINE - BLÉ DE PRINTEMPS PANIFIABLE - PRAIRIES (2 ANS)</v>
      </c>
      <c r="W35" s="52">
        <f>'Intermédiaire_Prod-Résultats'!Z32</f>
        <v>695.84629999999993</v>
      </c>
      <c r="X35" s="53">
        <f>'Intermédiaire_Prod-Résultats'!N32</f>
        <v>-573.3775999999998</v>
      </c>
      <c r="Y35" s="53">
        <f>'Intermédiaire_Prod-Résultats'!T32</f>
        <v>-35.754300000000057</v>
      </c>
      <c r="Z35" s="53">
        <f>'Intermédiaire_Prod-Résultats'!AC32</f>
        <v>-552.18129999999996</v>
      </c>
      <c r="AA35" s="53">
        <f>'Intermédiaire_Prod-Résultats'!AC32</f>
        <v>-552.18129999999996</v>
      </c>
      <c r="AB35" s="53">
        <f>'Intermédiaire_Prod-Résultats'!BA32</f>
        <v>695.84629999999993</v>
      </c>
      <c r="AC35" s="54">
        <f>'Intermédiaire_Prod-Résultats'!AO32</f>
        <v>-573.3775999999998</v>
      </c>
      <c r="AD35" s="54">
        <f>'Intermédiaire_Prod-Résultats'!AU32</f>
        <v>-35.754300000000057</v>
      </c>
      <c r="AE35" s="54">
        <f>'Intermédiaire_Prod-Résultats'!BD32</f>
        <v>-534.68129999999996</v>
      </c>
      <c r="AF35" s="54">
        <f>'Intermédiaire_Prod-Résultats'!BD32</f>
        <v>-534.68129999999996</v>
      </c>
      <c r="AG35" s="54">
        <f>'Intermédiaire_Prod-Résultats'!CB32</f>
        <v>695.84629999999993</v>
      </c>
      <c r="AH35" s="54">
        <f>'Intermédiaire_Prod-Résultats'!BP32</f>
        <v>-573.3775999999998</v>
      </c>
      <c r="AI35" s="55">
        <f>'Intermédiaire_Prod-Résultats'!BV32</f>
        <v>-35.754300000000057</v>
      </c>
      <c r="AJ35" s="55">
        <f>'Intermédiaire_Prod-Résultats'!CE32</f>
        <v>-517.18129999999996</v>
      </c>
      <c r="AK35" s="55">
        <f>'Intermédiaire_Prod-Résultats'!CE32</f>
        <v>-517.18129999999996</v>
      </c>
      <c r="AL35" s="46" t="s">
        <v>122</v>
      </c>
      <c r="AM35" s="46" t="s">
        <v>122</v>
      </c>
      <c r="AN35" s="46" t="s">
        <v>122</v>
      </c>
      <c r="AO35" s="51">
        <f t="shared" si="6"/>
        <v>-196.52964</v>
      </c>
      <c r="AP35" s="3"/>
    </row>
    <row r="36" spans="1:42" x14ac:dyDescent="0.25">
      <c r="A36" s="15" t="str">
        <f t="shared" si="4"/>
        <v>CHANVRE - BLÉ D'AUTOMNE PANIFIABLE - SARRASIN - BLÉ DE PRINTEMPS PANIFIABLE - PRAIRIES (2 ANS)</v>
      </c>
      <c r="B36" s="52">
        <f>'Intermédiaire_Prod-Résultats'!D32</f>
        <v>820.62382000000002</v>
      </c>
      <c r="C36" s="53">
        <f>'Intermédiaire_Prod-Résultats'!P32</f>
        <v>379.33750899999973</v>
      </c>
      <c r="D36" s="53">
        <f>'Intermédiaire_Prod-Résultats'!G32</f>
        <v>130.11869999999999</v>
      </c>
      <c r="E36" s="53">
        <f>'Intermédiaire_Prod-Résultats'!S32</f>
        <v>-35.754300000000057</v>
      </c>
      <c r="F36" s="49">
        <f>'Intermédiaire_Prod-Résultats'!AB32</f>
        <v>-552.18129999999996</v>
      </c>
      <c r="G36" s="53">
        <f>'Intermédiaire_Prod-Résultats'!AB32</f>
        <v>-552.18129999999996</v>
      </c>
      <c r="H36" s="54">
        <f>'Intermédiaire_Prod-Résultats'!AE32</f>
        <v>820.62382000000002</v>
      </c>
      <c r="I36" s="50">
        <f>'Intermédiaire_Prod-Résultats'!AQ32</f>
        <v>379.33750899999973</v>
      </c>
      <c r="J36" s="50">
        <f>'Intermédiaire_Prod-Résultats'!AH32</f>
        <v>130.11869999999999</v>
      </c>
      <c r="K36" s="50">
        <f>'Intermédiaire_Prod-Résultats'!AT32</f>
        <v>-35.754300000000057</v>
      </c>
      <c r="L36" s="50">
        <f>'Intermédiaire_Prod-Résultats'!BC32</f>
        <v>-534.68129999999996</v>
      </c>
      <c r="M36" s="54">
        <f>'Intermédiaire_Prod-Résultats'!BC32</f>
        <v>-534.68129999999996</v>
      </c>
      <c r="N36" s="50">
        <f>'Intermédiaire_Prod-Résultats'!BF32</f>
        <v>820.62382000000002</v>
      </c>
      <c r="O36" s="50">
        <f>'Intermédiaire_Prod-Résultats'!BR32</f>
        <v>379.33750899999973</v>
      </c>
      <c r="P36" s="50">
        <f>'Intermédiaire_Prod-Résultats'!BI32</f>
        <v>130.11869999999999</v>
      </c>
      <c r="Q36" s="55">
        <f>'Intermédiaire_Prod-Résultats'!BU32</f>
        <v>-35.754300000000057</v>
      </c>
      <c r="R36" s="55">
        <f>'Intermédiaire_Prod-Résultats'!CD32</f>
        <v>-517.18129999999996</v>
      </c>
      <c r="S36" s="55">
        <f>'Intermédiaire_Prod-Résultats'!CD32</f>
        <v>-517.18129999999996</v>
      </c>
      <c r="T36" s="51">
        <f t="shared" si="3"/>
        <v>37.493854833333295</v>
      </c>
      <c r="V36" s="15" t="str">
        <f t="shared" si="5"/>
        <v>CHANVRE - BLÉ D'AUTOMNE PANIFIABLE - SARRASIN - BLÉ DE PRINTEMPS PANIFIABLE - PRAIRIES (2 ANS)</v>
      </c>
      <c r="W36" s="52">
        <f>'Intermédiaire_Prod-Résultats'!E32</f>
        <v>820.62382000000002</v>
      </c>
      <c r="X36" s="53">
        <f>'Intermédiaire_Prod-Résultats'!Q32</f>
        <v>379.33750899999973</v>
      </c>
      <c r="Y36" s="53">
        <f>'Intermédiaire_Prod-Résultats'!H32</f>
        <v>130.11869999999999</v>
      </c>
      <c r="Z36" s="53">
        <f>'Intermédiaire_Prod-Résultats'!T32</f>
        <v>-35.754300000000057</v>
      </c>
      <c r="AA36" s="49">
        <f>'Intermédiaire_Prod-Résultats'!AC32</f>
        <v>-552.18129999999996</v>
      </c>
      <c r="AB36" s="53">
        <f>'Intermédiaire_Prod-Résultats'!AC32</f>
        <v>-552.18129999999996</v>
      </c>
      <c r="AC36" s="54">
        <f>'Intermédiaire_Prod-Résultats'!AF32</f>
        <v>820.62382000000002</v>
      </c>
      <c r="AD36" s="50">
        <f>'Intermédiaire_Prod-Résultats'!AR32</f>
        <v>379.33750899999973</v>
      </c>
      <c r="AE36" s="50">
        <f>'Intermédiaire_Prod-Résultats'!AI32</f>
        <v>130.11869999999999</v>
      </c>
      <c r="AF36" s="50">
        <f>'Intermédiaire_Prod-Résultats'!AU32</f>
        <v>-35.754300000000057</v>
      </c>
      <c r="AG36" s="50">
        <f>'Intermédiaire_Prod-Résultats'!BD32</f>
        <v>-534.68129999999996</v>
      </c>
      <c r="AH36" s="54">
        <f>'Intermédiaire_Prod-Résultats'!BD32</f>
        <v>-534.68129999999996</v>
      </c>
      <c r="AI36" s="50">
        <f>'Intermédiaire_Prod-Résultats'!BG32</f>
        <v>820.62382000000002</v>
      </c>
      <c r="AJ36" s="50">
        <f>'Intermédiaire_Prod-Résultats'!BS32</f>
        <v>379.33750899999973</v>
      </c>
      <c r="AK36" s="50">
        <f>'Intermédiaire_Prod-Résultats'!BJ32</f>
        <v>130.11869999999999</v>
      </c>
      <c r="AL36" s="55">
        <f>'Intermédiaire_Prod-Résultats'!BV32</f>
        <v>-35.754300000000057</v>
      </c>
      <c r="AM36" s="55">
        <f>'Intermédiaire_Prod-Résultats'!CE32</f>
        <v>-517.18129999999996</v>
      </c>
      <c r="AN36" s="55">
        <f>'Intermédiaire_Prod-Résultats'!CE32</f>
        <v>-517.18129999999996</v>
      </c>
      <c r="AO36" s="51">
        <f t="shared" si="6"/>
        <v>37.493854833333295</v>
      </c>
      <c r="AP36" s="3"/>
    </row>
    <row r="37" spans="1:42" x14ac:dyDescent="0.25">
      <c r="A37" s="15" t="str">
        <f t="shared" si="4"/>
        <v>CHANVRE - BLÉ DE PRINTEMPS PANIFIABLE - SARRASIN - BLÉ DE PRINTEMPS PANIFIABLE - PRAIRIES (2 ANS)</v>
      </c>
      <c r="B37" s="52">
        <f>'Intermédiaire_Prod-Résultats'!D32</f>
        <v>820.62382000000002</v>
      </c>
      <c r="C37" s="53">
        <f>'Intermédiaire_Prod-Résultats'!S32</f>
        <v>-35.754300000000057</v>
      </c>
      <c r="D37" s="53">
        <f>'Intermédiaire_Prod-Résultats'!G32</f>
        <v>130.11869999999999</v>
      </c>
      <c r="E37" s="53">
        <f>'Intermédiaire_Prod-Résultats'!S32</f>
        <v>-35.754300000000057</v>
      </c>
      <c r="F37" s="53">
        <f>'Intermédiaire_Prod-Résultats'!AB32</f>
        <v>-552.18129999999996</v>
      </c>
      <c r="G37" s="53">
        <f>'Intermédiaire_Prod-Résultats'!AB32</f>
        <v>-552.18129999999996</v>
      </c>
      <c r="H37" s="54">
        <f>'Intermédiaire_Prod-Résultats'!AE32</f>
        <v>820.62382000000002</v>
      </c>
      <c r="I37" s="54">
        <f>'Intermédiaire_Prod-Résultats'!AT32</f>
        <v>-35.754300000000057</v>
      </c>
      <c r="J37" s="54">
        <f>'Intermédiaire_Prod-Résultats'!AH32</f>
        <v>130.11869999999999</v>
      </c>
      <c r="K37" s="54">
        <f>'Intermédiaire_Prod-Résultats'!AT32</f>
        <v>-35.754300000000057</v>
      </c>
      <c r="L37" s="54">
        <f>'Intermédiaire_Prod-Résultats'!BC32</f>
        <v>-534.68129999999996</v>
      </c>
      <c r="M37" s="54">
        <f>'Intermédiaire_Prod-Résultats'!BC32</f>
        <v>-534.68129999999996</v>
      </c>
      <c r="N37" s="55">
        <f>'Intermédiaire_Prod-Résultats'!BF32</f>
        <v>820.62382000000002</v>
      </c>
      <c r="O37" s="55">
        <f>'Intermédiaire_Prod-Résultats'!BU32</f>
        <v>-35.754300000000057</v>
      </c>
      <c r="P37" s="50">
        <f>'Intermédiaire_Prod-Résultats'!BI32</f>
        <v>130.11869999999999</v>
      </c>
      <c r="Q37" s="55">
        <f>'Intermédiaire_Prod-Résultats'!BU32</f>
        <v>-35.754300000000057</v>
      </c>
      <c r="R37" s="55">
        <f>'Intermédiaire_Prod-Résultats'!CD32</f>
        <v>-517.18129999999996</v>
      </c>
      <c r="S37" s="55">
        <f>'Intermédiaire_Prod-Résultats'!CD32</f>
        <v>-517.18129999999996</v>
      </c>
      <c r="T37" s="51">
        <f t="shared" si="3"/>
        <v>-31.688113333333337</v>
      </c>
      <c r="V37" s="15" t="str">
        <f t="shared" si="5"/>
        <v>CHANVRE - BLÉ DE PRINTEMPS PANIFIABLE - SARRASIN - BLÉ DE PRINTEMPS PANIFIABLE - PRAIRIES (2 ANS)</v>
      </c>
      <c r="W37" s="52">
        <f>'Intermédiaire_Prod-Résultats'!E32</f>
        <v>820.62382000000002</v>
      </c>
      <c r="X37" s="53">
        <f>'Intermédiaire_Prod-Résultats'!T32</f>
        <v>-35.754300000000057</v>
      </c>
      <c r="Y37" s="53">
        <f>'Intermédiaire_Prod-Résultats'!H32</f>
        <v>130.11869999999999</v>
      </c>
      <c r="Z37" s="53">
        <f>'Intermédiaire_Prod-Résultats'!T32</f>
        <v>-35.754300000000057</v>
      </c>
      <c r="AA37" s="53">
        <f>'Intermédiaire_Prod-Résultats'!AC32</f>
        <v>-552.18129999999996</v>
      </c>
      <c r="AB37" s="53">
        <f>'Intermédiaire_Prod-Résultats'!AC32</f>
        <v>-552.18129999999996</v>
      </c>
      <c r="AC37" s="54">
        <f>'Intermédiaire_Prod-Résultats'!AF32</f>
        <v>820.62382000000002</v>
      </c>
      <c r="AD37" s="54">
        <f>'Intermédiaire_Prod-Résultats'!AU32</f>
        <v>-35.754300000000057</v>
      </c>
      <c r="AE37" s="54">
        <f>'Intermédiaire_Prod-Résultats'!AI32</f>
        <v>130.11869999999999</v>
      </c>
      <c r="AF37" s="54">
        <f>'Intermédiaire_Prod-Résultats'!AU32</f>
        <v>-35.754300000000057</v>
      </c>
      <c r="AG37" s="54">
        <f>'Intermédiaire_Prod-Résultats'!BD32</f>
        <v>-534.68129999999996</v>
      </c>
      <c r="AH37" s="54">
        <f>'Intermédiaire_Prod-Résultats'!BD32</f>
        <v>-534.68129999999996</v>
      </c>
      <c r="AI37" s="55">
        <f>'Intermédiaire_Prod-Résultats'!BG32</f>
        <v>820.62382000000002</v>
      </c>
      <c r="AJ37" s="55">
        <f>'Intermédiaire_Prod-Résultats'!BV32</f>
        <v>-35.754300000000057</v>
      </c>
      <c r="AK37" s="50">
        <f>'Intermédiaire_Prod-Résultats'!BJ32</f>
        <v>130.11869999999999</v>
      </c>
      <c r="AL37" s="55">
        <f>'Intermédiaire_Prod-Résultats'!BV32</f>
        <v>-35.754300000000057</v>
      </c>
      <c r="AM37" s="55">
        <f>'Intermédiaire_Prod-Résultats'!CE32</f>
        <v>-517.18129999999996</v>
      </c>
      <c r="AN37" s="55">
        <f>'Intermédiaire_Prod-Résultats'!CE32</f>
        <v>-517.18129999999996</v>
      </c>
      <c r="AO37" s="51">
        <f t="shared" si="6"/>
        <v>-31.688113333333337</v>
      </c>
      <c r="AP37" s="3"/>
    </row>
    <row r="38" spans="1:42" x14ac:dyDescent="0.25">
      <c r="A38" s="15" t="str">
        <f t="shared" si="4"/>
        <v>CHANVRE - ORGE - SARRASIN - BLÉ DE PRINTEMPS PANIFIABLE - PRAIRIES (2 ANS)</v>
      </c>
      <c r="B38" s="52">
        <f>'Intermédiaire_Prod-Résultats'!D32</f>
        <v>820.62382000000002</v>
      </c>
      <c r="C38" s="53">
        <f>'Intermédiaire_Prod-Résultats'!J32</f>
        <v>-196.59989999999982</v>
      </c>
      <c r="D38" s="53">
        <f>'Intermédiaire_Prod-Résultats'!G32</f>
        <v>130.11869999999999</v>
      </c>
      <c r="E38" s="53">
        <f>'Intermédiaire_Prod-Résultats'!S32</f>
        <v>-35.754300000000057</v>
      </c>
      <c r="F38" s="53">
        <f>'Intermédiaire_Prod-Résultats'!AB32</f>
        <v>-552.18129999999996</v>
      </c>
      <c r="G38" s="53">
        <f>'Intermédiaire_Prod-Résultats'!AB32</f>
        <v>-552.18129999999996</v>
      </c>
      <c r="H38" s="54">
        <f>'Intermédiaire_Prod-Résultats'!AE32</f>
        <v>820.62382000000002</v>
      </c>
      <c r="I38" s="54">
        <f>'Intermédiaire_Prod-Résultats'!AK32</f>
        <v>-196.59989999999982</v>
      </c>
      <c r="J38" s="54">
        <f>'Intermédiaire_Prod-Résultats'!AH32</f>
        <v>130.11869999999999</v>
      </c>
      <c r="K38" s="54">
        <f>'Intermédiaire_Prod-Résultats'!AT32</f>
        <v>-35.754300000000057</v>
      </c>
      <c r="L38" s="54">
        <f>'Intermédiaire_Prod-Résultats'!BC32</f>
        <v>-534.68129999999996</v>
      </c>
      <c r="M38" s="54">
        <f>'Intermédiaire_Prod-Résultats'!BC32</f>
        <v>-534.68129999999996</v>
      </c>
      <c r="N38" s="55">
        <f>'Intermédiaire_Prod-Résultats'!BF32</f>
        <v>820.62382000000002</v>
      </c>
      <c r="O38" s="55">
        <f>'Intermédiaire_Prod-Résultats'!BL32</f>
        <v>-196.59989999999982</v>
      </c>
      <c r="P38" s="50">
        <f>'Intermédiaire_Prod-Résultats'!BI32</f>
        <v>130.11869999999999</v>
      </c>
      <c r="Q38" s="55">
        <f>'Intermédiaire_Prod-Résultats'!BU32</f>
        <v>-35.754300000000057</v>
      </c>
      <c r="R38" s="55">
        <f>'Intermédiaire_Prod-Résultats'!CD32</f>
        <v>-517.18129999999996</v>
      </c>
      <c r="S38" s="55">
        <f>'Intermédiaire_Prod-Résultats'!CD32</f>
        <v>-517.18129999999996</v>
      </c>
      <c r="T38" s="51">
        <f t="shared" si="3"/>
        <v>-58.495713333333292</v>
      </c>
      <c r="V38" s="15" t="str">
        <f t="shared" si="5"/>
        <v>CHANVRE - ORGE - SARRASIN - BLÉ DE PRINTEMPS PANIFIABLE - PRAIRIES (2 ANS)</v>
      </c>
      <c r="W38" s="52">
        <f>'Intermédiaire_Prod-Résultats'!E32</f>
        <v>820.62382000000002</v>
      </c>
      <c r="X38" s="53">
        <f>'Intermédiaire_Prod-Résultats'!K32</f>
        <v>-196.59989999999982</v>
      </c>
      <c r="Y38" s="53">
        <f>'Intermédiaire_Prod-Résultats'!H32</f>
        <v>130.11869999999999</v>
      </c>
      <c r="Z38" s="53">
        <f>'Intermédiaire_Prod-Résultats'!T32</f>
        <v>-35.754300000000057</v>
      </c>
      <c r="AA38" s="53">
        <f>'Intermédiaire_Prod-Résultats'!AC32</f>
        <v>-552.18129999999996</v>
      </c>
      <c r="AB38" s="53">
        <f>'Intermédiaire_Prod-Résultats'!AC32</f>
        <v>-552.18129999999996</v>
      </c>
      <c r="AC38" s="54">
        <f>'Intermédiaire_Prod-Résultats'!AF32</f>
        <v>820.62382000000002</v>
      </c>
      <c r="AD38" s="54">
        <f>'Intermédiaire_Prod-Résultats'!AL32</f>
        <v>-196.59989999999982</v>
      </c>
      <c r="AE38" s="54">
        <f>'Intermédiaire_Prod-Résultats'!AI32</f>
        <v>130.11869999999999</v>
      </c>
      <c r="AF38" s="54">
        <f>'Intermédiaire_Prod-Résultats'!AU32</f>
        <v>-35.754300000000057</v>
      </c>
      <c r="AG38" s="54">
        <f>'Intermédiaire_Prod-Résultats'!BD32</f>
        <v>-534.68129999999996</v>
      </c>
      <c r="AH38" s="54">
        <f>'Intermédiaire_Prod-Résultats'!BD32</f>
        <v>-534.68129999999996</v>
      </c>
      <c r="AI38" s="55">
        <f>'Intermédiaire_Prod-Résultats'!BG32</f>
        <v>820.62382000000002</v>
      </c>
      <c r="AJ38" s="55">
        <f>'Intermédiaire_Prod-Résultats'!BM32</f>
        <v>-196.59989999999982</v>
      </c>
      <c r="AK38" s="50">
        <f>'Intermédiaire_Prod-Résultats'!BJ32</f>
        <v>130.11869999999999</v>
      </c>
      <c r="AL38" s="55">
        <f>'Intermédiaire_Prod-Résultats'!BV32</f>
        <v>-35.754300000000057</v>
      </c>
      <c r="AM38" s="55">
        <f>'Intermédiaire_Prod-Résultats'!CE32</f>
        <v>-517.18129999999996</v>
      </c>
      <c r="AN38" s="55">
        <f>'Intermédiaire_Prod-Résultats'!CE32</f>
        <v>-517.18129999999996</v>
      </c>
      <c r="AO38" s="51">
        <f t="shared" si="6"/>
        <v>-58.495713333333292</v>
      </c>
      <c r="AP38" s="3"/>
    </row>
    <row r="39" spans="1:42" x14ac:dyDescent="0.25">
      <c r="A39" s="15" t="str">
        <f t="shared" si="4"/>
        <v>CHANVRE - AVOINE - SARRASIN - BLÉ DE PRINTEMPS PANIFIABLE - PRAIRIES (2 ANS)</v>
      </c>
      <c r="B39" s="52">
        <f>'Intermédiaire_Prod-Résultats'!D32</f>
        <v>820.62382000000002</v>
      </c>
      <c r="C39" s="53">
        <f>'Intermédiaire_Prod-Résultats'!M32</f>
        <v>-573.3775999999998</v>
      </c>
      <c r="D39" s="53">
        <f>'Intermédiaire_Prod-Résultats'!G32</f>
        <v>130.11869999999999</v>
      </c>
      <c r="E39" s="53">
        <f>'Intermédiaire_Prod-Résultats'!S32</f>
        <v>-35.754300000000057</v>
      </c>
      <c r="F39" s="53">
        <f>'Intermédiaire_Prod-Résultats'!AB32</f>
        <v>-552.18129999999996</v>
      </c>
      <c r="G39" s="53">
        <f>'Intermédiaire_Prod-Résultats'!AB32</f>
        <v>-552.18129999999996</v>
      </c>
      <c r="H39" s="54">
        <f>'Intermédiaire_Prod-Résultats'!AE32</f>
        <v>820.62382000000002</v>
      </c>
      <c r="I39" s="54">
        <f>'Intermédiaire_Prod-Résultats'!AN32</f>
        <v>-573.3775999999998</v>
      </c>
      <c r="J39" s="54">
        <f>'Intermédiaire_Prod-Résultats'!AH32</f>
        <v>130.11869999999999</v>
      </c>
      <c r="K39" s="54">
        <f>'Intermédiaire_Prod-Résultats'!AT32</f>
        <v>-35.754300000000057</v>
      </c>
      <c r="L39" s="54">
        <f>'Intermédiaire_Prod-Résultats'!BC32</f>
        <v>-534.68129999999996</v>
      </c>
      <c r="M39" s="54">
        <f>'Intermédiaire_Prod-Résultats'!BC32</f>
        <v>-534.68129999999996</v>
      </c>
      <c r="N39" s="55">
        <f>'Intermédiaire_Prod-Résultats'!BF32</f>
        <v>820.62382000000002</v>
      </c>
      <c r="O39" s="55">
        <f>'Intermédiaire_Prod-Résultats'!BO32</f>
        <v>-573.3775999999998</v>
      </c>
      <c r="P39" s="50">
        <f>'Intermédiaire_Prod-Résultats'!BI32</f>
        <v>130.11869999999999</v>
      </c>
      <c r="Q39" s="55">
        <f>'Intermédiaire_Prod-Résultats'!BU32</f>
        <v>-35.754300000000057</v>
      </c>
      <c r="R39" s="55">
        <f>'Intermédiaire_Prod-Résultats'!CD32</f>
        <v>-517.18129999999996</v>
      </c>
      <c r="S39" s="55">
        <f>'Intermédiaire_Prod-Résultats'!CD32</f>
        <v>-517.18129999999996</v>
      </c>
      <c r="T39" s="51">
        <f t="shared" si="3"/>
        <v>-121.29199666666662</v>
      </c>
      <c r="V39" s="15" t="str">
        <f t="shared" si="5"/>
        <v>CHANVRE - AVOINE - SARRASIN - BLÉ DE PRINTEMPS PANIFIABLE - PRAIRIES (2 ANS)</v>
      </c>
      <c r="W39" s="52">
        <f>'Intermédiaire_Prod-Résultats'!E32</f>
        <v>820.62382000000002</v>
      </c>
      <c r="X39" s="53">
        <f>'Intermédiaire_Prod-Résultats'!N32</f>
        <v>-573.3775999999998</v>
      </c>
      <c r="Y39" s="53">
        <f>'Intermédiaire_Prod-Résultats'!H32</f>
        <v>130.11869999999999</v>
      </c>
      <c r="Z39" s="53">
        <f>'Intermédiaire_Prod-Résultats'!T32</f>
        <v>-35.754300000000057</v>
      </c>
      <c r="AA39" s="53">
        <f>'Intermédiaire_Prod-Résultats'!AC32</f>
        <v>-552.18129999999996</v>
      </c>
      <c r="AB39" s="53">
        <f>'Intermédiaire_Prod-Résultats'!AC32</f>
        <v>-552.18129999999996</v>
      </c>
      <c r="AC39" s="54">
        <f>'Intermédiaire_Prod-Résultats'!AF32</f>
        <v>820.62382000000002</v>
      </c>
      <c r="AD39" s="54">
        <f>'Intermédiaire_Prod-Résultats'!AO32</f>
        <v>-573.3775999999998</v>
      </c>
      <c r="AE39" s="54">
        <f>'Intermédiaire_Prod-Résultats'!AI32</f>
        <v>130.11869999999999</v>
      </c>
      <c r="AF39" s="54">
        <f>'Intermédiaire_Prod-Résultats'!AU32</f>
        <v>-35.754300000000057</v>
      </c>
      <c r="AG39" s="54">
        <f>'Intermédiaire_Prod-Résultats'!BD32</f>
        <v>-534.68129999999996</v>
      </c>
      <c r="AH39" s="54">
        <f>'Intermédiaire_Prod-Résultats'!BD32</f>
        <v>-534.68129999999996</v>
      </c>
      <c r="AI39" s="55">
        <f>'Intermédiaire_Prod-Résultats'!BG32</f>
        <v>820.62382000000002</v>
      </c>
      <c r="AJ39" s="55">
        <f>'Intermédiaire_Prod-Résultats'!BP32</f>
        <v>-573.3775999999998</v>
      </c>
      <c r="AK39" s="50">
        <f>'Intermédiaire_Prod-Résultats'!BJ32</f>
        <v>130.11869999999999</v>
      </c>
      <c r="AL39" s="55">
        <f>'Intermédiaire_Prod-Résultats'!BV32</f>
        <v>-35.754300000000057</v>
      </c>
      <c r="AM39" s="55">
        <f>'Intermédiaire_Prod-Résultats'!CE32</f>
        <v>-517.18129999999996</v>
      </c>
      <c r="AN39" s="55">
        <f>'Intermédiaire_Prod-Résultats'!CE32</f>
        <v>-517.18129999999996</v>
      </c>
      <c r="AO39" s="51">
        <f t="shared" si="6"/>
        <v>-121.29199666666662</v>
      </c>
      <c r="AP39" s="3"/>
    </row>
    <row r="40" spans="1:42" x14ac:dyDescent="0.25">
      <c r="A40" s="15" t="str">
        <f t="shared" si="4"/>
        <v>CHANVRE - SEIGLE - SARRASIN - BLÉ DE PRINTEMPS PANIFIABLE - PRAIRIES (2 ANS)</v>
      </c>
      <c r="B40" s="52">
        <f>'Intermédiaire_Prod-Résultats'!D32</f>
        <v>820.62382000000002</v>
      </c>
      <c r="C40" s="53">
        <f>'Intermédiaire_Prod-Résultats'!V32</f>
        <v>-249.59060000000022</v>
      </c>
      <c r="D40" s="53">
        <f>'Intermédiaire_Prod-Résultats'!G32</f>
        <v>130.11869999999999</v>
      </c>
      <c r="E40" s="53">
        <f>'Intermédiaire_Prod-Résultats'!S32</f>
        <v>-35.754300000000057</v>
      </c>
      <c r="F40" s="53">
        <f>'Intermédiaire_Prod-Résultats'!AB32</f>
        <v>-552.18129999999996</v>
      </c>
      <c r="G40" s="53">
        <f>'Intermédiaire_Prod-Résultats'!AB32</f>
        <v>-552.18129999999996</v>
      </c>
      <c r="H40" s="54">
        <f>'Intermédiaire_Prod-Résultats'!AE32</f>
        <v>820.62382000000002</v>
      </c>
      <c r="I40" s="54">
        <f>'Intermédiaire_Prod-Résultats'!AW32</f>
        <v>-249.59060000000022</v>
      </c>
      <c r="J40" s="54">
        <f>'Intermédiaire_Prod-Résultats'!AH32</f>
        <v>130.11869999999999</v>
      </c>
      <c r="K40" s="54">
        <f>'Intermédiaire_Prod-Résultats'!AT32</f>
        <v>-35.754300000000057</v>
      </c>
      <c r="L40" s="54">
        <f>'Intermédiaire_Prod-Résultats'!BC32</f>
        <v>-534.68129999999996</v>
      </c>
      <c r="M40" s="54">
        <f>'Intermédiaire_Prod-Résultats'!BC32</f>
        <v>-534.68129999999996</v>
      </c>
      <c r="N40" s="55">
        <f>'Intermédiaire_Prod-Résultats'!BF32</f>
        <v>820.62382000000002</v>
      </c>
      <c r="O40" s="55">
        <f>'Intermédiaire_Prod-Résultats'!BX32</f>
        <v>-249.59060000000022</v>
      </c>
      <c r="P40" s="50">
        <f>'Intermédiaire_Prod-Résultats'!BI32</f>
        <v>130.11869999999999</v>
      </c>
      <c r="Q40" s="55">
        <f>'Intermédiaire_Prod-Résultats'!BU32</f>
        <v>-35.754300000000057</v>
      </c>
      <c r="R40" s="55">
        <f>'Intermédiaire_Prod-Résultats'!CD32</f>
        <v>-517.18129999999996</v>
      </c>
      <c r="S40" s="55">
        <f>'Intermédiaire_Prod-Résultats'!CD32</f>
        <v>-517.18129999999996</v>
      </c>
      <c r="T40" s="51">
        <f t="shared" si="3"/>
        <v>-67.327496666666704</v>
      </c>
      <c r="V40" s="15" t="str">
        <f t="shared" si="5"/>
        <v>CHANVRE - SEIGLE - SARRASIN - BLÉ DE PRINTEMPS PANIFIABLE - PRAIRIES (2 ANS)</v>
      </c>
      <c r="W40" s="52">
        <f>'Intermédiaire_Prod-Résultats'!E32</f>
        <v>820.62382000000002</v>
      </c>
      <c r="X40" s="53">
        <f>'Intermédiaire_Prod-Résultats'!W32</f>
        <v>-249.59060000000022</v>
      </c>
      <c r="Y40" s="53">
        <f>'Intermédiaire_Prod-Résultats'!H32</f>
        <v>130.11869999999999</v>
      </c>
      <c r="Z40" s="53">
        <f>'Intermédiaire_Prod-Résultats'!T32</f>
        <v>-35.754300000000057</v>
      </c>
      <c r="AA40" s="53">
        <f>'Intermédiaire_Prod-Résultats'!AC32</f>
        <v>-552.18129999999996</v>
      </c>
      <c r="AB40" s="53">
        <f>'Intermédiaire_Prod-Résultats'!AC32</f>
        <v>-552.18129999999996</v>
      </c>
      <c r="AC40" s="54">
        <f>'Intermédiaire_Prod-Résultats'!AF32</f>
        <v>820.62382000000002</v>
      </c>
      <c r="AD40" s="54">
        <f>'Intermédiaire_Prod-Résultats'!AX32</f>
        <v>-249.59060000000022</v>
      </c>
      <c r="AE40" s="54">
        <f>'Intermédiaire_Prod-Résultats'!AI32</f>
        <v>130.11869999999999</v>
      </c>
      <c r="AF40" s="54">
        <f>'Intermédiaire_Prod-Résultats'!AU32</f>
        <v>-35.754300000000057</v>
      </c>
      <c r="AG40" s="54">
        <f>'Intermédiaire_Prod-Résultats'!BD32</f>
        <v>-534.68129999999996</v>
      </c>
      <c r="AH40" s="54">
        <f>'Intermédiaire_Prod-Résultats'!BD32</f>
        <v>-534.68129999999996</v>
      </c>
      <c r="AI40" s="55">
        <f>'Intermédiaire_Prod-Résultats'!BG32</f>
        <v>820.62382000000002</v>
      </c>
      <c r="AJ40" s="55">
        <f>'Intermédiaire_Prod-Résultats'!BY32</f>
        <v>-249.59060000000022</v>
      </c>
      <c r="AK40" s="50">
        <f>'Intermédiaire_Prod-Résultats'!BJ32</f>
        <v>130.11869999999999</v>
      </c>
      <c r="AL40" s="55">
        <f>'Intermédiaire_Prod-Résultats'!BV32</f>
        <v>-35.754300000000057</v>
      </c>
      <c r="AM40" s="55">
        <f>'Intermédiaire_Prod-Résultats'!CE32</f>
        <v>-517.18129999999996</v>
      </c>
      <c r="AN40" s="55">
        <f>'Intermédiaire_Prod-Résultats'!CE32</f>
        <v>-517.18129999999996</v>
      </c>
      <c r="AO40" s="51">
        <f t="shared" si="6"/>
        <v>-67.327496666666704</v>
      </c>
      <c r="AP40" s="3"/>
    </row>
    <row r="41" spans="1:42" x14ac:dyDescent="0.25">
      <c r="A41" s="15" t="str">
        <f t="shared" si="4"/>
        <v>CHANVRE - SEIGLE HYBRIDE D'AUTOMNE - SARRASIN - BLÉ DE PRINTEMPS PANIFIABLE - PRAIRIES (2 ANS)</v>
      </c>
      <c r="B41" s="52">
        <f>'Intermédiaire_Prod-Résultats'!D32</f>
        <v>820.62382000000002</v>
      </c>
      <c r="C41" s="53">
        <f>'Intermédiaire_Prod-Résultats'!Y32</f>
        <v>695.84629999999993</v>
      </c>
      <c r="D41" s="53">
        <f>'Intermédiaire_Prod-Résultats'!G32</f>
        <v>130.11869999999999</v>
      </c>
      <c r="E41" s="53">
        <f>'Intermédiaire_Prod-Résultats'!S32</f>
        <v>-35.754300000000057</v>
      </c>
      <c r="F41" s="53">
        <f>'Intermédiaire_Prod-Résultats'!AB32</f>
        <v>-552.18129999999996</v>
      </c>
      <c r="G41" s="53">
        <f>'Intermédiaire_Prod-Résultats'!AB32</f>
        <v>-552.18129999999996</v>
      </c>
      <c r="H41" s="54">
        <f>'Intermédiaire_Prod-Résultats'!AE32</f>
        <v>820.62382000000002</v>
      </c>
      <c r="I41" s="54">
        <f>'Intermédiaire_Prod-Résultats'!AZ32</f>
        <v>695.84629999999993</v>
      </c>
      <c r="J41" s="54">
        <f>'Intermédiaire_Prod-Résultats'!AH32</f>
        <v>130.11869999999999</v>
      </c>
      <c r="K41" s="54">
        <f>'Intermédiaire_Prod-Résultats'!AT32</f>
        <v>-35.754300000000057</v>
      </c>
      <c r="L41" s="54">
        <f>'Intermédiaire_Prod-Résultats'!BC32</f>
        <v>-534.68129999999996</v>
      </c>
      <c r="M41" s="54">
        <f>'Intermédiaire_Prod-Résultats'!BC32</f>
        <v>-534.68129999999996</v>
      </c>
      <c r="N41" s="55">
        <f>'Intermédiaire_Prod-Résultats'!BF32</f>
        <v>820.62382000000002</v>
      </c>
      <c r="O41" s="55">
        <f>'Intermédiaire_Prod-Résultats'!CA32</f>
        <v>695.84629999999993</v>
      </c>
      <c r="P41" s="50">
        <f>'Intermédiaire_Prod-Résultats'!BI32</f>
        <v>130.11869999999999</v>
      </c>
      <c r="Q41" s="55">
        <f>'Intermédiaire_Prod-Résultats'!BU32</f>
        <v>-35.754300000000057</v>
      </c>
      <c r="R41" s="55">
        <f>'Intermédiaire_Prod-Résultats'!CD32</f>
        <v>-517.18129999999996</v>
      </c>
      <c r="S41" s="55">
        <f>'Intermédiaire_Prod-Résultats'!CD32</f>
        <v>-517.18129999999996</v>
      </c>
      <c r="T41" s="51">
        <f>AVERAGE(B41:S41)</f>
        <v>90.245320000000007</v>
      </c>
      <c r="V41" s="15" t="str">
        <f t="shared" si="5"/>
        <v>CHANVRE - SEIGLE HYBRIDE D'AUTOMNE - SARRASIN - BLÉ DE PRINTEMPS PANIFIABLE - PRAIRIES (2 ANS)</v>
      </c>
      <c r="W41" s="52">
        <f>'Intermédiaire_Prod-Résultats'!E32</f>
        <v>820.62382000000002</v>
      </c>
      <c r="X41" s="53">
        <f>'Intermédiaire_Prod-Résultats'!Z32</f>
        <v>695.84629999999993</v>
      </c>
      <c r="Y41" s="53">
        <f>'Intermédiaire_Prod-Résultats'!H32</f>
        <v>130.11869999999999</v>
      </c>
      <c r="Z41" s="53">
        <f>'Intermédiaire_Prod-Résultats'!T32</f>
        <v>-35.754300000000057</v>
      </c>
      <c r="AA41" s="53">
        <f>'Intermédiaire_Prod-Résultats'!AC32</f>
        <v>-552.18129999999996</v>
      </c>
      <c r="AB41" s="53">
        <f>'Intermédiaire_Prod-Résultats'!AC32</f>
        <v>-552.18129999999996</v>
      </c>
      <c r="AC41" s="54">
        <f>'Intermédiaire_Prod-Résultats'!AF32</f>
        <v>820.62382000000002</v>
      </c>
      <c r="AD41" s="54">
        <f>'Intermédiaire_Prod-Résultats'!BA32</f>
        <v>695.84629999999993</v>
      </c>
      <c r="AE41" s="54">
        <f>'Intermédiaire_Prod-Résultats'!AI32</f>
        <v>130.11869999999999</v>
      </c>
      <c r="AF41" s="54">
        <f>'Intermédiaire_Prod-Résultats'!AU32</f>
        <v>-35.754300000000057</v>
      </c>
      <c r="AG41" s="54">
        <f>'Intermédiaire_Prod-Résultats'!BD32</f>
        <v>-534.68129999999996</v>
      </c>
      <c r="AH41" s="54">
        <f>'Intermédiaire_Prod-Résultats'!BD32</f>
        <v>-534.68129999999996</v>
      </c>
      <c r="AI41" s="55">
        <f>'Intermédiaire_Prod-Résultats'!BG32</f>
        <v>820.62382000000002</v>
      </c>
      <c r="AJ41" s="55">
        <f>'Intermédiaire_Prod-Résultats'!CB32</f>
        <v>695.84629999999993</v>
      </c>
      <c r="AK41" s="50">
        <f>'Intermédiaire_Prod-Résultats'!BJ32</f>
        <v>130.11869999999999</v>
      </c>
      <c r="AL41" s="55">
        <f>'Intermédiaire_Prod-Résultats'!BV32</f>
        <v>-35.754300000000057</v>
      </c>
      <c r="AM41" s="55">
        <f>'Intermédiaire_Prod-Résultats'!CE32</f>
        <v>-517.18129999999996</v>
      </c>
      <c r="AN41" s="55">
        <f>'Intermédiaire_Prod-Résultats'!CE32</f>
        <v>-517.18129999999996</v>
      </c>
      <c r="AO41" s="51">
        <f t="shared" si="6"/>
        <v>90.245320000000007</v>
      </c>
      <c r="AP41" s="3"/>
    </row>
  </sheetData>
  <dataConsolidate/>
  <mergeCells count="20">
    <mergeCell ref="AG24:AK24"/>
    <mergeCell ref="B24:F24"/>
    <mergeCell ref="G24:K24"/>
    <mergeCell ref="L24:P24"/>
    <mergeCell ref="W3:AA3"/>
    <mergeCell ref="AB3:AF3"/>
    <mergeCell ref="W24:AA24"/>
    <mergeCell ref="AB24:AF24"/>
    <mergeCell ref="V2:AO2"/>
    <mergeCell ref="V1:AO1"/>
    <mergeCell ref="V23:AO23"/>
    <mergeCell ref="V22:AO22"/>
    <mergeCell ref="A1:T1"/>
    <mergeCell ref="A2:T2"/>
    <mergeCell ref="A22:T22"/>
    <mergeCell ref="A23:T23"/>
    <mergeCell ref="B3:F3"/>
    <mergeCell ref="G3:K3"/>
    <mergeCell ref="L3:P3"/>
    <mergeCell ref="AG3:AK3"/>
  </mergeCells>
  <phoneticPr fontId="6" type="noConversion"/>
  <pageMargins left="0.7" right="0.7" top="0.75" bottom="0.75" header="0.3" footer="0.3"/>
  <pageSetup orientation="portrait" r:id="rId1"/>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495FC-859A-42DE-9BBD-FD07149A4C99}">
  <sheetPr>
    <tabColor theme="5" tint="0.79998168889431442"/>
  </sheetPr>
  <dimension ref="A1:R44"/>
  <sheetViews>
    <sheetView tabSelected="1" topLeftCell="B1" zoomScale="130" zoomScaleNormal="130" workbookViewId="0">
      <selection activeCell="B15" sqref="B15"/>
    </sheetView>
  </sheetViews>
  <sheetFormatPr baseColWidth="10" defaultColWidth="10.85546875" defaultRowHeight="15" x14ac:dyDescent="0.25"/>
  <cols>
    <col min="1" max="1" width="90.140625" customWidth="1"/>
    <col min="14" max="14" width="90.42578125" customWidth="1"/>
  </cols>
  <sheetData>
    <row r="1" spans="1:18" x14ac:dyDescent="0.25">
      <c r="A1" s="99" t="s">
        <v>197</v>
      </c>
      <c r="B1" s="99"/>
      <c r="C1" s="99"/>
      <c r="D1" s="99"/>
      <c r="E1" s="99"/>
      <c r="N1" s="101" t="s">
        <v>203</v>
      </c>
      <c r="O1" s="101"/>
      <c r="P1" s="101"/>
      <c r="Q1" s="101"/>
      <c r="R1" s="101"/>
    </row>
    <row r="2" spans="1:18" ht="60" x14ac:dyDescent="0.25">
      <c r="A2" s="59" t="s">
        <v>196</v>
      </c>
      <c r="B2" s="64" t="s">
        <v>198</v>
      </c>
      <c r="C2" s="65" t="s">
        <v>199</v>
      </c>
      <c r="D2" s="66" t="s">
        <v>200</v>
      </c>
      <c r="E2" s="66" t="s">
        <v>201</v>
      </c>
      <c r="N2" s="74" t="s">
        <v>196</v>
      </c>
      <c r="O2" s="64" t="s">
        <v>198</v>
      </c>
      <c r="P2" s="65" t="s">
        <v>199</v>
      </c>
      <c r="Q2" s="66" t="s">
        <v>200</v>
      </c>
      <c r="R2" s="66" t="s">
        <v>201</v>
      </c>
    </row>
    <row r="3" spans="1:18" x14ac:dyDescent="0.25">
      <c r="A3" s="45" t="str">
        <f>Résultats_détaillés!A5</f>
        <v>CHANVRE - BLÉ DE PRINTEMPS PANIFIABLE - AVOINE - SARRASIN - ENGRAIS VERTS</v>
      </c>
      <c r="B3" s="67">
        <f>AVERAGE(Résultats_détaillés!B5:F5)</f>
        <v>551.47212400000001</v>
      </c>
      <c r="C3" s="67">
        <f>AVERAGE(Résultats_détaillés!G5:K5)</f>
        <v>551.47212400000001</v>
      </c>
      <c r="D3" s="68">
        <f>AVERAGE(Résultats_détaillés!L5:P5)</f>
        <v>551.47212400000001</v>
      </c>
      <c r="E3" s="68">
        <f>AVERAGE(B3:D3)</f>
        <v>551.47212400000001</v>
      </c>
      <c r="N3" s="45" t="str">
        <f>A3</f>
        <v>CHANVRE - BLÉ DE PRINTEMPS PANIFIABLE - AVOINE - SARRASIN - ENGRAIS VERTS</v>
      </c>
      <c r="O3" s="67">
        <f>AVERAGE(Résultats_détaillés!W5:AA5)</f>
        <v>551.47212400000001</v>
      </c>
      <c r="P3" s="67">
        <f>AVERAGE(Résultats_détaillés!AB5:AF5)</f>
        <v>551.47212400000001</v>
      </c>
      <c r="Q3" s="68">
        <f>AVERAGE(Résultats_détaillés!Y5:AC5)</f>
        <v>551.47212400000001</v>
      </c>
      <c r="R3" s="68">
        <f>AVERAGE(O3:Q3)</f>
        <v>551.47212400000001</v>
      </c>
    </row>
    <row r="4" spans="1:18" x14ac:dyDescent="0.25">
      <c r="A4" s="45" t="str">
        <f>Résultats_détaillés!A6</f>
        <v>CHANVRE - BLÉ D'AUTOMNE PANIFIABLE - AVOINE - SARRASIN - ENGRAIS VERTS</v>
      </c>
      <c r="B4" s="67">
        <f>AVERAGE(Résultats_détaillés!B6:F6)</f>
        <v>634.49048579999999</v>
      </c>
      <c r="C4" s="67">
        <f>AVERAGE(Résultats_détaillés!G6:K6)</f>
        <v>634.49048579999999</v>
      </c>
      <c r="D4" s="68">
        <f>AVERAGE(Résultats_détaillés!L6:P6)</f>
        <v>634.49048579999999</v>
      </c>
      <c r="E4" s="68">
        <f t="shared" ref="E4:E13" si="0">AVERAGE(B4:D4)</f>
        <v>634.49048579999999</v>
      </c>
      <c r="N4" s="45" t="str">
        <f t="shared" ref="N4:N20" si="1">A4</f>
        <v>CHANVRE - BLÉ D'AUTOMNE PANIFIABLE - AVOINE - SARRASIN - ENGRAIS VERTS</v>
      </c>
      <c r="O4" s="67">
        <f>AVERAGE(Résultats_détaillés!W6:AA6)</f>
        <v>634.49048579999999</v>
      </c>
      <c r="P4" s="67">
        <f>AVERAGE(Résultats_détaillés!AB6:AF6)</f>
        <v>634.49048579999999</v>
      </c>
      <c r="Q4" s="68">
        <f>AVERAGE(Résultats_détaillés!Y6:AC6)</f>
        <v>634.49048579999999</v>
      </c>
      <c r="R4" s="68">
        <f t="shared" ref="R4:R7" si="2">AVERAGE(O4:Q4)</f>
        <v>634.49048579999999</v>
      </c>
    </row>
    <row r="5" spans="1:18" x14ac:dyDescent="0.25">
      <c r="A5" s="45" t="str">
        <f>Résultats_détaillés!A7</f>
        <v>CHANVRE - ORGE - AVOINE - SARRASIN - ENGRAIS VERTS</v>
      </c>
      <c r="B5" s="67">
        <f>AVERAGE(Résultats_détaillés!B7:F7)</f>
        <v>519.79300400000011</v>
      </c>
      <c r="C5" s="67">
        <f>AVERAGE(Résultats_détaillés!G7:K7)</f>
        <v>519.79300400000011</v>
      </c>
      <c r="D5" s="68">
        <f>AVERAGE(Résultats_détaillés!L7:P7)</f>
        <v>519.79300400000011</v>
      </c>
      <c r="E5" s="68">
        <f t="shared" si="0"/>
        <v>519.79300400000011</v>
      </c>
      <c r="N5" s="45" t="str">
        <f t="shared" si="1"/>
        <v>CHANVRE - ORGE - AVOINE - SARRASIN - ENGRAIS VERTS</v>
      </c>
      <c r="O5" s="67">
        <f>AVERAGE(Résultats_détaillés!W7:AA7)</f>
        <v>519.79300400000011</v>
      </c>
      <c r="P5" s="67">
        <f>AVERAGE(Résultats_détaillés!AB7:AF7)</f>
        <v>519.79300400000011</v>
      </c>
      <c r="Q5" s="68">
        <f>AVERAGE(Résultats_détaillés!Y7:AC7)</f>
        <v>519.793004</v>
      </c>
      <c r="R5" s="68">
        <f t="shared" si="2"/>
        <v>519.79300400000011</v>
      </c>
    </row>
    <row r="6" spans="1:18" x14ac:dyDescent="0.25">
      <c r="A6" s="45" t="str">
        <f>Résultats_détaillés!A8</f>
        <v>CHANVRE - SEIGLE - AVOINE - SARRASIN - ENGRAIS VERTS</v>
      </c>
      <c r="B6" s="67">
        <f>AVERAGE(Résultats_détaillés!B8:F8)</f>
        <v>502.05686399999996</v>
      </c>
      <c r="C6" s="67">
        <f>AVERAGE(Résultats_détaillés!G8:K8)</f>
        <v>502.05686399999996</v>
      </c>
      <c r="D6" s="68">
        <f>AVERAGE(Résultats_détaillés!L8:P8)</f>
        <v>502.05686399999996</v>
      </c>
      <c r="E6" s="68">
        <f t="shared" si="0"/>
        <v>502.05686399999996</v>
      </c>
      <c r="N6" s="45" t="str">
        <f t="shared" si="1"/>
        <v>CHANVRE - SEIGLE - AVOINE - SARRASIN - ENGRAIS VERTS</v>
      </c>
      <c r="O6" s="67">
        <f>AVERAGE(Résultats_détaillés!W8:AA8)</f>
        <v>502.05686399999996</v>
      </c>
      <c r="P6" s="67">
        <f>AVERAGE(Résultats_détaillés!AB8:AF8)</f>
        <v>502.05686399999996</v>
      </c>
      <c r="Q6" s="68">
        <f>AVERAGE(Résultats_détaillés!Y8:AC8)</f>
        <v>502.05686399999996</v>
      </c>
      <c r="R6" s="68">
        <f t="shared" si="2"/>
        <v>502.05686399999996</v>
      </c>
    </row>
    <row r="7" spans="1:18" x14ac:dyDescent="0.25">
      <c r="A7" s="45" t="str">
        <f>Résultats_détaillés!A9</f>
        <v>CHANVRE - SEIGLE HYBRIDE D'AUTOMNE - AVOINE - SARRASIN - ENGRAIS VERTS</v>
      </c>
      <c r="B7" s="67">
        <f>AVERAGE(Résultats_détaillés!B9:F9)</f>
        <v>691.14424399999996</v>
      </c>
      <c r="C7" s="67">
        <f>AVERAGE(Résultats_détaillés!G9:K9)</f>
        <v>691.14424399999996</v>
      </c>
      <c r="D7" s="68">
        <f>AVERAGE(Résultats_détaillés!L9:P9)</f>
        <v>691.14424399999996</v>
      </c>
      <c r="E7" s="68">
        <f t="shared" si="0"/>
        <v>691.14424399999996</v>
      </c>
      <c r="N7" s="45" t="str">
        <f t="shared" si="1"/>
        <v>CHANVRE - SEIGLE HYBRIDE D'AUTOMNE - AVOINE - SARRASIN - ENGRAIS VERTS</v>
      </c>
      <c r="O7" s="67">
        <f>AVERAGE(Résultats_détaillés!W9:AA9)</f>
        <v>691.14424399999996</v>
      </c>
      <c r="P7" s="67">
        <f>AVERAGE(Résultats_détaillés!AB9:AF9)</f>
        <v>691.14424399999996</v>
      </c>
      <c r="Q7" s="68">
        <f>AVERAGE(Résultats_détaillés!Y9:AC9)</f>
        <v>691.14424399999996</v>
      </c>
      <c r="R7" s="68">
        <f t="shared" si="2"/>
        <v>691.14424399999996</v>
      </c>
    </row>
    <row r="8" spans="1:18" ht="3.6" customHeight="1" x14ac:dyDescent="0.25">
      <c r="A8" s="45"/>
      <c r="B8" s="67"/>
      <c r="C8" s="67"/>
      <c r="D8" s="68"/>
      <c r="E8" s="68"/>
      <c r="N8" s="45">
        <f t="shared" si="1"/>
        <v>0</v>
      </c>
      <c r="O8" s="67"/>
      <c r="P8" s="67"/>
      <c r="Q8" s="68"/>
      <c r="R8" s="68"/>
    </row>
    <row r="9" spans="1:18" x14ac:dyDescent="0.25">
      <c r="A9" s="45" t="str">
        <f>Résultats_détaillés!A10</f>
        <v>BLÉ DE PRINTEMPS PANIFIABLE - AVOINE - BLÉ DE PRINTEMPS PANIFIABLE - PRAIRIE (2 ANS)</v>
      </c>
      <c r="B9" s="67">
        <f>AVERAGE(Résultats_détaillés!B10:F10)</f>
        <v>222.97624000000005</v>
      </c>
      <c r="C9" s="67">
        <f>AVERAGE(Résultats_détaillés!G10:K10)</f>
        <v>229.97624000000005</v>
      </c>
      <c r="D9" s="68">
        <f>AVERAGE(Résultats_détaillés!L10:P10)</f>
        <v>236.97624000000005</v>
      </c>
      <c r="E9" s="68">
        <f t="shared" si="0"/>
        <v>229.97624000000005</v>
      </c>
      <c r="N9" s="45" t="str">
        <f t="shared" si="1"/>
        <v>BLÉ DE PRINTEMPS PANIFIABLE - AVOINE - BLÉ DE PRINTEMPS PANIFIABLE - PRAIRIE (2 ANS)</v>
      </c>
      <c r="O9" s="67">
        <f>AVERAGE(Résultats_détaillés!W10:AA10)</f>
        <v>222.97624000000005</v>
      </c>
      <c r="P9" s="67">
        <f>AVERAGE(Résultats_détaillés!AB10:AF10)</f>
        <v>229.97624000000005</v>
      </c>
      <c r="Q9" s="68">
        <f>AVERAGE(Résultats_détaillés!AG10:AK10)</f>
        <v>236.97624000000005</v>
      </c>
      <c r="R9" s="68">
        <f t="shared" ref="R9:R13" si="3">AVERAGE(O9:Q9)</f>
        <v>229.97624000000005</v>
      </c>
    </row>
    <row r="10" spans="1:18" x14ac:dyDescent="0.25">
      <c r="A10" s="45" t="str">
        <f>Résultats_détaillés!A11</f>
        <v>BLÉ D'AUTOMNE PANIFIABLE - AVOINE - BLÉ DE PRINTEMPS PANIFIABLE- PRAIRIES (2 ANS)</v>
      </c>
      <c r="B10" s="67">
        <f>AVERAGE(Résultats_détaillés!B11:F11)</f>
        <v>305.9946018</v>
      </c>
      <c r="C10" s="67">
        <f>AVERAGE(Résultats_détaillés!G11:K11)</f>
        <v>312.9946018</v>
      </c>
      <c r="D10" s="68">
        <f>AVERAGE(Résultats_détaillés!L11:P11)</f>
        <v>319.9946018</v>
      </c>
      <c r="E10" s="68">
        <f t="shared" si="0"/>
        <v>312.9946018</v>
      </c>
      <c r="N10" s="45" t="str">
        <f t="shared" si="1"/>
        <v>BLÉ D'AUTOMNE PANIFIABLE - AVOINE - BLÉ DE PRINTEMPS PANIFIABLE- PRAIRIES (2 ANS)</v>
      </c>
      <c r="O10" s="67">
        <f>AVERAGE(Résultats_détaillés!W11:AA11)</f>
        <v>305.9946018</v>
      </c>
      <c r="P10" s="67">
        <f>AVERAGE(Résultats_détaillés!AB11:AF11)</f>
        <v>312.9946018</v>
      </c>
      <c r="Q10" s="68">
        <f>AVERAGE(Résultats_détaillés!AG11:AK11)</f>
        <v>319.9946018</v>
      </c>
      <c r="R10" s="68">
        <f t="shared" si="3"/>
        <v>312.9946018</v>
      </c>
    </row>
    <row r="11" spans="1:18" x14ac:dyDescent="0.25">
      <c r="A11" s="45" t="str">
        <f>Résultats_détaillés!A12</f>
        <v>ORGE - AVOINE - BLÉ DE PRINTEMPS PANIFIABLE - PRAIRIES (2 ANS)</v>
      </c>
      <c r="B11" s="67">
        <f>AVERAGE(Résultats_détaillés!B12:F12)</f>
        <v>191.29712000000009</v>
      </c>
      <c r="C11" s="67">
        <f>AVERAGE(Résultats_détaillés!G12:K12)</f>
        <v>198.29712000000009</v>
      </c>
      <c r="D11" s="68">
        <f>AVERAGE(Résultats_détaillés!L12:P12)</f>
        <v>205.29712000000009</v>
      </c>
      <c r="E11" s="68">
        <f t="shared" si="0"/>
        <v>198.29712000000009</v>
      </c>
      <c r="N11" s="45" t="str">
        <f t="shared" si="1"/>
        <v>ORGE - AVOINE - BLÉ DE PRINTEMPS PANIFIABLE - PRAIRIES (2 ANS)</v>
      </c>
      <c r="O11" s="67">
        <f>AVERAGE(Résultats_détaillés!W12:AA12)</f>
        <v>191.29712000000009</v>
      </c>
      <c r="P11" s="67">
        <f>AVERAGE(Résultats_détaillés!AB12:AF12)</f>
        <v>198.29712000000009</v>
      </c>
      <c r="Q11" s="68">
        <f>AVERAGE(Résultats_détaillés!AG12:AK12)</f>
        <v>205.29712000000009</v>
      </c>
      <c r="R11" s="68">
        <f t="shared" si="3"/>
        <v>198.29712000000009</v>
      </c>
    </row>
    <row r="12" spans="1:18" x14ac:dyDescent="0.25">
      <c r="A12" s="45" t="str">
        <f>Résultats_détaillés!A13</f>
        <v>SEIGLE - AVOINE - BLÉ DE PRINTEMPS PANIFIABLE - PRAIRIES (2 ANS)</v>
      </c>
      <c r="B12" s="67">
        <f>AVERAGE(Résultats_détaillés!B13:F13)</f>
        <v>173.56098000000003</v>
      </c>
      <c r="C12" s="67">
        <f>AVERAGE(Résultats_détaillés!G13:K13)</f>
        <v>180.56098000000003</v>
      </c>
      <c r="D12" s="68">
        <f>AVERAGE(Résultats_détaillés!L13:P13)</f>
        <v>187.56098000000003</v>
      </c>
      <c r="E12" s="68">
        <f t="shared" si="0"/>
        <v>180.56098000000006</v>
      </c>
      <c r="N12" s="45" t="str">
        <f t="shared" si="1"/>
        <v>SEIGLE - AVOINE - BLÉ DE PRINTEMPS PANIFIABLE - PRAIRIES (2 ANS)</v>
      </c>
      <c r="O12" s="67">
        <f>AVERAGE(Résultats_détaillés!W13:AA13)</f>
        <v>173.56098000000003</v>
      </c>
      <c r="P12" s="67">
        <f>AVERAGE(Résultats_détaillés!AB13:AF13)</f>
        <v>180.56098000000003</v>
      </c>
      <c r="Q12" s="68">
        <f>AVERAGE(Résultats_détaillés!AG13:AK13)</f>
        <v>187.56098000000003</v>
      </c>
      <c r="R12" s="68">
        <f t="shared" si="3"/>
        <v>180.56098000000006</v>
      </c>
    </row>
    <row r="13" spans="1:18" x14ac:dyDescent="0.25">
      <c r="A13" s="45" t="str">
        <f>Résultats_détaillés!A14</f>
        <v>SEIGLE HYBRIDE D'AUTOMNE- AVOINE - BLÉ DE PRINTEMPS PANIFIABLE - PRAIRIES (2 ANS)</v>
      </c>
      <c r="B13" s="67">
        <f>AVERAGE(Résultats_détaillés!B14:F14)</f>
        <v>362.64836000000003</v>
      </c>
      <c r="C13" s="67">
        <f>AVERAGE(Résultats_détaillés!G14:K14)</f>
        <v>369.64836000000003</v>
      </c>
      <c r="D13" s="68">
        <f>AVERAGE(Résultats_détaillés!L14:P14)</f>
        <v>376.64836000000003</v>
      </c>
      <c r="E13" s="68">
        <f t="shared" si="0"/>
        <v>369.64835999999997</v>
      </c>
      <c r="N13" s="45" t="str">
        <f t="shared" si="1"/>
        <v>SEIGLE HYBRIDE D'AUTOMNE- AVOINE - BLÉ DE PRINTEMPS PANIFIABLE - PRAIRIES (2 ANS)</v>
      </c>
      <c r="O13" s="67">
        <f>AVERAGE(Résultats_détaillés!W14:AA14)</f>
        <v>362.64836000000003</v>
      </c>
      <c r="P13" s="67">
        <f>AVERAGE(Résultats_détaillés!AB14:AF14)</f>
        <v>369.64836000000003</v>
      </c>
      <c r="Q13" s="68">
        <f>AVERAGE(Résultats_détaillés!AG14:AK14)</f>
        <v>376.64836000000003</v>
      </c>
      <c r="R13" s="68">
        <f t="shared" si="3"/>
        <v>369.64835999999997</v>
      </c>
    </row>
    <row r="14" spans="1:18" ht="5.0999999999999996" customHeight="1" x14ac:dyDescent="0.25">
      <c r="A14" s="45"/>
      <c r="B14" s="69"/>
      <c r="C14" s="69"/>
      <c r="D14" s="69"/>
      <c r="E14" s="69"/>
      <c r="N14" s="45">
        <f t="shared" si="1"/>
        <v>0</v>
      </c>
      <c r="O14" s="69"/>
      <c r="P14" s="69"/>
      <c r="Q14" s="69"/>
      <c r="R14" s="69"/>
    </row>
    <row r="15" spans="1:18" x14ac:dyDescent="0.25">
      <c r="A15" s="45" t="str">
        <f>Résultats_détaillés!A15</f>
        <v>CHANVRE - BLÉ D'AUTOMNE PANIFIABLE - SARRASIN - BLÉ DE PRINTEMPS PANIFIABLE - PRAIRIES (2 ANS)</v>
      </c>
      <c r="B15" s="70">
        <f>AVERAGE(Résultats_détaillés!B15:G15)</f>
        <v>679.07052149999993</v>
      </c>
      <c r="C15" s="70">
        <f>AVERAGE(Résultats_détaillés!H15:M15)</f>
        <v>684.9038548333333</v>
      </c>
      <c r="D15" s="70">
        <f>AVERAGE(Résultats_détaillés!N15:S15)</f>
        <v>690.73718816666667</v>
      </c>
      <c r="E15" s="71">
        <f>AVERAGE(B15:D15)</f>
        <v>684.9038548333333</v>
      </c>
      <c r="N15" s="45" t="str">
        <f t="shared" si="1"/>
        <v>CHANVRE - BLÉ D'AUTOMNE PANIFIABLE - SARRASIN - BLÉ DE PRINTEMPS PANIFIABLE - PRAIRIES (2 ANS)</v>
      </c>
      <c r="O15" s="70">
        <f>AVERAGE(Résultats_détaillés!W15:AB15)</f>
        <v>679.07052149999993</v>
      </c>
      <c r="P15" s="70">
        <f>AVERAGE(Résultats_détaillés!AC15:AH15)</f>
        <v>684.9038548333333</v>
      </c>
      <c r="Q15" s="70">
        <f>AVERAGE(Résultats_détaillés!AI15:AN15)</f>
        <v>690.73718816666667</v>
      </c>
      <c r="R15" s="71">
        <f>AVERAGE(O15:Q15)</f>
        <v>684.9038548333333</v>
      </c>
    </row>
    <row r="16" spans="1:18" x14ac:dyDescent="0.25">
      <c r="A16" s="45" t="str">
        <f>Résultats_détaillés!A16</f>
        <v>CHANVRE - BLÉ DE PRINTEMPS PANIFIABLE - SARRASIN - BLÉ DE PRINTEMPS PANIFIABLE - PRAIRIES (2 ANS)</v>
      </c>
      <c r="B16" s="70">
        <f>AVERAGE(Résultats_détaillés!B16:G16)</f>
        <v>609.88855333333322</v>
      </c>
      <c r="C16" s="70">
        <f>AVERAGE(Résultats_détaillés!H16:M16)</f>
        <v>615.72188666666659</v>
      </c>
      <c r="D16" s="70">
        <f>AVERAGE(Résultats_détaillés!N16:S16)</f>
        <v>621.55521999999985</v>
      </c>
      <c r="E16" s="71">
        <f t="shared" ref="E16:E20" si="4">AVERAGE(B16:D16)</f>
        <v>615.72188666666659</v>
      </c>
      <c r="N16" s="45" t="str">
        <f t="shared" si="1"/>
        <v>CHANVRE - BLÉ DE PRINTEMPS PANIFIABLE - SARRASIN - BLÉ DE PRINTEMPS PANIFIABLE - PRAIRIES (2 ANS)</v>
      </c>
      <c r="O16" s="70">
        <f>AVERAGE(Résultats_détaillés!W16:AB16)</f>
        <v>609.88855333333322</v>
      </c>
      <c r="P16" s="70">
        <f>AVERAGE(Résultats_détaillés!AC16:AH16)</f>
        <v>615.72188666666659</v>
      </c>
      <c r="Q16" s="70">
        <f>AVERAGE(Résultats_détaillés!AI16:AN16)</f>
        <v>621.55521999999985</v>
      </c>
      <c r="R16" s="71">
        <f t="shared" ref="R16:R20" si="5">AVERAGE(O16:Q16)</f>
        <v>615.72188666666659</v>
      </c>
    </row>
    <row r="17" spans="1:18" x14ac:dyDescent="0.25">
      <c r="A17" s="45" t="str">
        <f>Résultats_détaillés!A17</f>
        <v>CHANVRE - ORGE - SARRASIN - BLÉ DE PRINTEMPS PANIFIABLE - PRAIRIES (2 ANS)</v>
      </c>
      <c r="B17" s="70">
        <f>AVERAGE(Résultats_détaillés!B17:G17)</f>
        <v>583.48928666666677</v>
      </c>
      <c r="C17" s="70">
        <f>AVERAGE(Résultats_détaillés!H17:M17)</f>
        <v>589.32262000000003</v>
      </c>
      <c r="D17" s="70">
        <f>AVERAGE(Résultats_détaillés!N17:S17)</f>
        <v>595.1559533333334</v>
      </c>
      <c r="E17" s="71">
        <f t="shared" si="4"/>
        <v>589.32262000000003</v>
      </c>
      <c r="N17" s="45" t="str">
        <f t="shared" si="1"/>
        <v>CHANVRE - ORGE - SARRASIN - BLÉ DE PRINTEMPS PANIFIABLE - PRAIRIES (2 ANS)</v>
      </c>
      <c r="O17" s="70">
        <f>AVERAGE(Résultats_détaillés!W17:AB17)</f>
        <v>583.48928666666677</v>
      </c>
      <c r="P17" s="70">
        <f>AVERAGE(Résultats_détaillés!AC17:AH17)</f>
        <v>589.32262000000003</v>
      </c>
      <c r="Q17" s="70">
        <f>AVERAGE(Résultats_détaillés!AI17:AN17)</f>
        <v>595.1559533333334</v>
      </c>
      <c r="R17" s="71">
        <f t="shared" si="5"/>
        <v>589.32262000000003</v>
      </c>
    </row>
    <row r="18" spans="1:18" x14ac:dyDescent="0.25">
      <c r="A18" s="45" t="str">
        <f>Résultats_détaillés!A18</f>
        <v>CHANVRE - AVOINE - SARRASIN - BLÉ DE PRINTEMPS PANIFIABLE - PRAIRIES (2 ANS)</v>
      </c>
      <c r="B18" s="70">
        <f>AVERAGE(Résultats_détaillés!B18:G18)</f>
        <v>504.40967000000001</v>
      </c>
      <c r="C18" s="70">
        <f>AVERAGE(Résultats_détaillés!H18:M18)</f>
        <v>510.24300333333332</v>
      </c>
      <c r="D18" s="70">
        <f>AVERAGE(Résultats_détaillés!N18:S18)</f>
        <v>516.07633666666663</v>
      </c>
      <c r="E18" s="71">
        <f t="shared" si="4"/>
        <v>510.24300333333332</v>
      </c>
      <c r="N18" s="45" t="str">
        <f t="shared" si="1"/>
        <v>CHANVRE - AVOINE - SARRASIN - BLÉ DE PRINTEMPS PANIFIABLE - PRAIRIES (2 ANS)</v>
      </c>
      <c r="O18" s="70">
        <f>AVERAGE(Résultats_détaillés!W18:AB18)</f>
        <v>504.40967000000001</v>
      </c>
      <c r="P18" s="70">
        <f>AVERAGE(Résultats_détaillés!AC18:AH18)</f>
        <v>510.24300333333332</v>
      </c>
      <c r="Q18" s="70">
        <f>AVERAGE(Résultats_détaillés!AI18:AN18)</f>
        <v>516.07633666666663</v>
      </c>
      <c r="R18" s="71">
        <f t="shared" si="5"/>
        <v>510.24300333333332</v>
      </c>
    </row>
    <row r="19" spans="1:18" x14ac:dyDescent="0.25">
      <c r="A19" s="45" t="str">
        <f>Résultats_détaillés!A19</f>
        <v>CHANVRE - SEIGLE - SARRASIN - BLÉ DE PRINTEMPS PANIFIABLE - PRAIRIES (2 ANS)</v>
      </c>
      <c r="B19" s="70">
        <f>AVERAGE(Résultats_détaillés!B19:G19)</f>
        <v>568.70916999999997</v>
      </c>
      <c r="C19" s="70">
        <f>AVERAGE(Résultats_détaillés!H19:M19)</f>
        <v>574.54250333333323</v>
      </c>
      <c r="D19" s="70">
        <f>AVERAGE(Résultats_détaillés!N19:S19)</f>
        <v>580.3758366666666</v>
      </c>
      <c r="E19" s="71">
        <f t="shared" si="4"/>
        <v>574.54250333333323</v>
      </c>
      <c r="N19" s="45" t="str">
        <f t="shared" si="1"/>
        <v>CHANVRE - SEIGLE - SARRASIN - BLÉ DE PRINTEMPS PANIFIABLE - PRAIRIES (2 ANS)</v>
      </c>
      <c r="O19" s="70">
        <f>AVERAGE(Résultats_détaillés!W19:AB19)</f>
        <v>568.70916999999997</v>
      </c>
      <c r="P19" s="70">
        <f>AVERAGE(Résultats_détaillés!AC19:AH19)</f>
        <v>574.54250333333323</v>
      </c>
      <c r="Q19" s="70">
        <f>AVERAGE(Résultats_détaillés!AI19:AN19)</f>
        <v>580.3758366666666</v>
      </c>
      <c r="R19" s="71">
        <f t="shared" si="5"/>
        <v>574.54250333333323</v>
      </c>
    </row>
    <row r="20" spans="1:18" x14ac:dyDescent="0.25">
      <c r="A20" s="45" t="str">
        <f>Résultats_détaillés!A20</f>
        <v>CHANVRE - SEIGLE HYBRIDE D'AUTOMNE - SARRASIN - BLÉ DE PRINTEMPS PANIFIABLE - PRAIRIES (2 ANS)</v>
      </c>
      <c r="B20" s="72">
        <f>AVERAGE(Résultats_détaillés!B20:G20)</f>
        <v>726.28198666666651</v>
      </c>
      <c r="C20" s="72">
        <f>AVERAGE(Résultats_détaillés!H20:M20)</f>
        <v>732.11531999999988</v>
      </c>
      <c r="D20" s="72">
        <f>AVERAGE(Résultats_détaillés!N20:S20)</f>
        <v>737.94865333333325</v>
      </c>
      <c r="E20" s="73">
        <f t="shared" si="4"/>
        <v>732.11531999999988</v>
      </c>
      <c r="N20" s="45" t="str">
        <f t="shared" si="1"/>
        <v>CHANVRE - SEIGLE HYBRIDE D'AUTOMNE - SARRASIN - BLÉ DE PRINTEMPS PANIFIABLE - PRAIRIES (2 ANS)</v>
      </c>
      <c r="O20" s="72">
        <f>AVERAGE(Résultats_détaillés!W20:AB20)</f>
        <v>726.28198666666651</v>
      </c>
      <c r="P20" s="72">
        <f>AVERAGE(Résultats_détaillés!AC20:AH20)</f>
        <v>732.11531999999988</v>
      </c>
      <c r="Q20" s="72">
        <f>AVERAGE(Résultats_détaillés!AI20:AN20)</f>
        <v>737.94865333333325</v>
      </c>
      <c r="R20" s="73">
        <f t="shared" si="5"/>
        <v>732.11531999999988</v>
      </c>
    </row>
    <row r="25" spans="1:18" x14ac:dyDescent="0.25">
      <c r="A25" s="100" t="s">
        <v>202</v>
      </c>
      <c r="B25" s="100"/>
      <c r="C25" s="100"/>
      <c r="D25" s="100"/>
      <c r="E25" s="100"/>
      <c r="N25" s="102" t="s">
        <v>204</v>
      </c>
      <c r="O25" s="102"/>
      <c r="P25" s="102"/>
      <c r="Q25" s="102"/>
      <c r="R25" s="102"/>
    </row>
    <row r="26" spans="1:18" ht="60" x14ac:dyDescent="0.25">
      <c r="A26" s="61" t="s">
        <v>196</v>
      </c>
      <c r="B26" s="64" t="s">
        <v>198</v>
      </c>
      <c r="C26" s="65" t="s">
        <v>199</v>
      </c>
      <c r="D26" s="66" t="s">
        <v>200</v>
      </c>
      <c r="E26" s="66" t="s">
        <v>201</v>
      </c>
      <c r="N26" s="75" t="s">
        <v>196</v>
      </c>
      <c r="O26" s="64" t="s">
        <v>198</v>
      </c>
      <c r="P26" s="65" t="s">
        <v>199</v>
      </c>
      <c r="Q26" s="66" t="s">
        <v>200</v>
      </c>
      <c r="R26" s="66" t="s">
        <v>201</v>
      </c>
    </row>
    <row r="27" spans="1:18" x14ac:dyDescent="0.25">
      <c r="A27" s="45" t="str">
        <f>Résultats_détaillés!A26</f>
        <v>CHANVRE - BLÉ DE PRINTEMPS PANIFIABLE - AVOINE - SARRASIN - ENGRAIS VERTS</v>
      </c>
      <c r="B27" s="67">
        <f>AVERAGE(Résultats_détaillés!B26:F26)</f>
        <v>18.030124000000036</v>
      </c>
      <c r="C27" s="67">
        <f>AVERAGE(Résultats_détaillés!G26:K26)</f>
        <v>18.030124000000036</v>
      </c>
      <c r="D27" s="68">
        <f>AVERAGE(Résultats_détaillés!L26:P26)</f>
        <v>18.030124000000036</v>
      </c>
      <c r="E27" s="68">
        <f>AVERAGE(B27:D27)</f>
        <v>18.030124000000036</v>
      </c>
      <c r="N27" s="45" t="str">
        <f>A27</f>
        <v>CHANVRE - BLÉ DE PRINTEMPS PANIFIABLE - AVOINE - SARRASIN - ENGRAIS VERTS</v>
      </c>
      <c r="O27" s="67">
        <f>AVERAGE(Résultats_détaillés!W26:AA26)</f>
        <v>18.030124000000036</v>
      </c>
      <c r="P27" s="67">
        <f>AVERAGE(Résultats_détaillés!AB26:AF26)</f>
        <v>18.030124000000036</v>
      </c>
      <c r="Q27" s="68">
        <f>AVERAGE(Résultats_détaillés!AG26:AK26)</f>
        <v>18.030124000000036</v>
      </c>
      <c r="R27" s="68">
        <f>AVERAGE(O27:Q27)</f>
        <v>18.030124000000036</v>
      </c>
    </row>
    <row r="28" spans="1:18" x14ac:dyDescent="0.25">
      <c r="A28" s="45" t="str">
        <f>Résultats_détaillés!A27</f>
        <v>CHANVRE - BLÉ D'AUTOMNE PANIFIABLE - AVOINE - SARRASIN - ENGRAIS VERTS</v>
      </c>
      <c r="B28" s="67">
        <f>AVERAGE(Résultats_détaillés!B27:F27)</f>
        <v>101.04848579999999</v>
      </c>
      <c r="C28" s="67">
        <f>AVERAGE(Résultats_détaillés!G27:K27)</f>
        <v>101.04848579999999</v>
      </c>
      <c r="D28" s="68">
        <f>AVERAGE(Résultats_détaillés!L27:P27)</f>
        <v>101.04848579999999</v>
      </c>
      <c r="E28" s="68">
        <f t="shared" ref="E28:E44" si="6">AVERAGE(B28:D28)</f>
        <v>101.04848579999999</v>
      </c>
      <c r="N28" s="45" t="str">
        <f t="shared" ref="N28:N44" si="7">A28</f>
        <v>CHANVRE - BLÉ D'AUTOMNE PANIFIABLE - AVOINE - SARRASIN - ENGRAIS VERTS</v>
      </c>
      <c r="O28" s="67">
        <f>AVERAGE(Résultats_détaillés!W27:AA27)</f>
        <v>101.04848579999999</v>
      </c>
      <c r="P28" s="67">
        <f>AVERAGE(Résultats_détaillés!AB27:AF27)</f>
        <v>101.04848579999999</v>
      </c>
      <c r="Q28" s="68">
        <f>AVERAGE(Résultats_détaillés!AG27:AK27)</f>
        <v>101.04848579999999</v>
      </c>
      <c r="R28" s="68">
        <f t="shared" ref="R28:R31" si="8">AVERAGE(O28:Q28)</f>
        <v>101.04848579999999</v>
      </c>
    </row>
    <row r="29" spans="1:18" x14ac:dyDescent="0.25">
      <c r="A29" s="45" t="str">
        <f>Résultats_détaillés!A28</f>
        <v>CHANVRE - ORGE - AVOINE - SARRASIN - ENGRAIS VERTS</v>
      </c>
      <c r="B29" s="67">
        <f>AVERAGE(Résultats_détaillés!B28:F28)</f>
        <v>-14.138995999999917</v>
      </c>
      <c r="C29" s="67">
        <f>AVERAGE(Résultats_détaillés!G28:K28)</f>
        <v>-14.138995999999917</v>
      </c>
      <c r="D29" s="68">
        <f>AVERAGE(Résultats_détaillés!L28:P28)</f>
        <v>-14.138995999999917</v>
      </c>
      <c r="E29" s="68">
        <f t="shared" si="6"/>
        <v>-14.138995999999915</v>
      </c>
      <c r="N29" s="45" t="str">
        <f t="shared" si="7"/>
        <v>CHANVRE - ORGE - AVOINE - SARRASIN - ENGRAIS VERTS</v>
      </c>
      <c r="O29" s="67">
        <f>AVERAGE(Résultats_détaillés!W28:AA28)</f>
        <v>-14.138995999999917</v>
      </c>
      <c r="P29" s="67">
        <f>AVERAGE(Résultats_détaillés!AB28:AF28)</f>
        <v>-14.138995999999917</v>
      </c>
      <c r="Q29" s="68">
        <f>AVERAGE(Résultats_détaillés!AG28:AK28)</f>
        <v>-14.138995999999917</v>
      </c>
      <c r="R29" s="68">
        <f t="shared" si="8"/>
        <v>-14.138995999999915</v>
      </c>
    </row>
    <row r="30" spans="1:18" x14ac:dyDescent="0.25">
      <c r="A30" s="45" t="str">
        <f>Résultats_détaillés!A29</f>
        <v>CHANVRE - SEIGLE - AVOINE - SARRASIN - ENGRAIS VERTS</v>
      </c>
      <c r="B30" s="67">
        <f>AVERAGE(Résultats_détaillés!B29:F29)</f>
        <v>-24.737136</v>
      </c>
      <c r="C30" s="67">
        <f>AVERAGE(Résultats_détaillés!G29:K29)</f>
        <v>-24.737136</v>
      </c>
      <c r="D30" s="68">
        <f>AVERAGE(Résultats_détaillés!L29:P29)</f>
        <v>-24.737136</v>
      </c>
      <c r="E30" s="68">
        <f t="shared" si="6"/>
        <v>-24.737136000000003</v>
      </c>
      <c r="N30" s="45" t="str">
        <f t="shared" si="7"/>
        <v>CHANVRE - SEIGLE - AVOINE - SARRASIN - ENGRAIS VERTS</v>
      </c>
      <c r="O30" s="67">
        <f>AVERAGE(Résultats_détaillés!W29:AA29)</f>
        <v>-24.737136</v>
      </c>
      <c r="P30" s="67">
        <f>AVERAGE(Résultats_détaillés!AB29:AF29)</f>
        <v>-24.737136</v>
      </c>
      <c r="Q30" s="68">
        <f>AVERAGE(Résultats_détaillés!AG29:AK29)</f>
        <v>-24.737136</v>
      </c>
      <c r="R30" s="68">
        <f t="shared" si="8"/>
        <v>-24.737136000000003</v>
      </c>
    </row>
    <row r="31" spans="1:18" x14ac:dyDescent="0.25">
      <c r="A31" s="45" t="str">
        <f>Résultats_détaillés!A30</f>
        <v>CHANVRE - SEIGLE HYBRIDE D'AUTOMNE - AVOINE - SARRASIN - ENGRAIS VERTS</v>
      </c>
      <c r="B31" s="67">
        <f>AVERAGE(Résultats_détaillés!B30:F30)</f>
        <v>164.35024400000003</v>
      </c>
      <c r="C31" s="67">
        <f>AVERAGE(Résultats_détaillés!G30:K30)</f>
        <v>164.35024400000003</v>
      </c>
      <c r="D31" s="68">
        <f>AVERAGE(Résultats_détaillés!L30:P30)</f>
        <v>164.35024400000003</v>
      </c>
      <c r="E31" s="68">
        <f t="shared" si="6"/>
        <v>164.35024400000003</v>
      </c>
      <c r="N31" s="45" t="str">
        <f t="shared" si="7"/>
        <v>CHANVRE - SEIGLE HYBRIDE D'AUTOMNE - AVOINE - SARRASIN - ENGRAIS VERTS</v>
      </c>
      <c r="O31" s="67">
        <f>AVERAGE(Résultats_détaillés!W30:AA30)</f>
        <v>164.35024400000003</v>
      </c>
      <c r="P31" s="67">
        <f>AVERAGE(Résultats_détaillés!AB30:AF30)</f>
        <v>164.35024400000003</v>
      </c>
      <c r="Q31" s="68">
        <f>AVERAGE(Résultats_détaillés!AG30:AK30)</f>
        <v>164.35024400000003</v>
      </c>
      <c r="R31" s="68">
        <f t="shared" si="8"/>
        <v>164.35024400000003</v>
      </c>
    </row>
    <row r="32" spans="1:18" ht="6" customHeight="1" x14ac:dyDescent="0.25">
      <c r="A32" s="45"/>
      <c r="B32" s="67"/>
      <c r="C32" s="67"/>
      <c r="D32" s="68"/>
      <c r="E32" s="68"/>
      <c r="N32" s="45">
        <f t="shared" si="7"/>
        <v>0</v>
      </c>
      <c r="O32" s="67"/>
      <c r="P32" s="67"/>
      <c r="Q32" s="68"/>
      <c r="R32" s="68"/>
    </row>
    <row r="33" spans="1:18" x14ac:dyDescent="0.25">
      <c r="A33" s="45" t="str">
        <f>Résultats_détaillés!A31</f>
        <v>BLÉ DE PRINTEMPS PANIFIABLE - AVOINE - BLÉ DE PRINTEMPS PANIFIABLE - PRAIRIE (2 ANS)</v>
      </c>
      <c r="B33" s="67">
        <f>AVERAGE(Résultats_détaillés!B31:F31)</f>
        <v>-349.84975999999995</v>
      </c>
      <c r="C33" s="67">
        <f>AVERAGE(Résultats_détaillés!G31:K31)</f>
        <v>-342.84975999999995</v>
      </c>
      <c r="D33" s="68">
        <f>AVERAGE(Résultats_détaillés!L31:P31)</f>
        <v>-335.84975999999995</v>
      </c>
      <c r="E33" s="68">
        <f t="shared" si="6"/>
        <v>-342.84975999999989</v>
      </c>
      <c r="N33" s="45" t="str">
        <f t="shared" si="7"/>
        <v>BLÉ DE PRINTEMPS PANIFIABLE - AVOINE - BLÉ DE PRINTEMPS PANIFIABLE - PRAIRIE (2 ANS)</v>
      </c>
      <c r="O33" s="67">
        <f>AVERAGE(Résultats_détaillés!W31:AA31)</f>
        <v>-349.84975999999995</v>
      </c>
      <c r="P33" s="67">
        <f>AVERAGE(Résultats_détaillés!AB31:AF31)</f>
        <v>-342.84975999999995</v>
      </c>
      <c r="Q33" s="68">
        <f>AVERAGE(Résultats_détaillés!AG31:AK31)</f>
        <v>-335.84975999999995</v>
      </c>
      <c r="R33" s="68">
        <f t="shared" ref="R33:R37" si="9">AVERAGE(O33:Q33)</f>
        <v>-342.84975999999989</v>
      </c>
    </row>
    <row r="34" spans="1:18" x14ac:dyDescent="0.25">
      <c r="A34" s="45" t="str">
        <f>Résultats_détaillés!A32</f>
        <v>BLÉ D'AUTOMNE PANIFIABLE - AVOINE - BLÉ DE PRINTEMPS PANIFIABLE- PRAIRIES (2 ANS)</v>
      </c>
      <c r="B34" s="67">
        <f>AVERAGE(Résultats_détaillés!B32:F32)</f>
        <v>-266.83139820000002</v>
      </c>
      <c r="C34" s="67">
        <f>AVERAGE(Résultats_détaillés!G32:K32)</f>
        <v>-259.83139820000002</v>
      </c>
      <c r="D34" s="68">
        <f>AVERAGE(Résultats_détaillés!L32:P32)</f>
        <v>-252.83139820000002</v>
      </c>
      <c r="E34" s="68">
        <f t="shared" si="6"/>
        <v>-259.83139820000002</v>
      </c>
      <c r="N34" s="45" t="str">
        <f t="shared" si="7"/>
        <v>BLÉ D'AUTOMNE PANIFIABLE - AVOINE - BLÉ DE PRINTEMPS PANIFIABLE- PRAIRIES (2 ANS)</v>
      </c>
      <c r="O34" s="67">
        <f>AVERAGE(Résultats_détaillés!W32:AA32)</f>
        <v>-266.83139820000002</v>
      </c>
      <c r="P34" s="67">
        <f>AVERAGE(Résultats_détaillés!AB32:AF32)</f>
        <v>-259.83139820000002</v>
      </c>
      <c r="Q34" s="68">
        <f>AVERAGE(Résultats_détaillés!AG32:AK32)</f>
        <v>-252.83139820000002</v>
      </c>
      <c r="R34" s="68">
        <f t="shared" si="9"/>
        <v>-259.83139820000002</v>
      </c>
    </row>
    <row r="35" spans="1:18" x14ac:dyDescent="0.25">
      <c r="A35" s="45" t="str">
        <f>Résultats_détaillés!A33</f>
        <v>ORGE - AVOINE - BLÉ DE PRINTEMPS PANIFIABLE - PRAIRIES (2 ANS)</v>
      </c>
      <c r="B35" s="67">
        <f>AVERAGE(Résultats_détaillés!B33:F33)</f>
        <v>-382.01887999999997</v>
      </c>
      <c r="C35" s="67">
        <f>AVERAGE(Résultats_détaillés!G33:K33)</f>
        <v>-375.01887999999997</v>
      </c>
      <c r="D35" s="68">
        <f>AVERAGE(Résultats_détaillés!L33:P33)</f>
        <v>-368.01887999999997</v>
      </c>
      <c r="E35" s="68">
        <f t="shared" si="6"/>
        <v>-375.01887999999991</v>
      </c>
      <c r="N35" s="45" t="str">
        <f t="shared" si="7"/>
        <v>ORGE - AVOINE - BLÉ DE PRINTEMPS PANIFIABLE - PRAIRIES (2 ANS)</v>
      </c>
      <c r="O35" s="67">
        <f>AVERAGE(Résultats_détaillés!W33:AA33)</f>
        <v>-382.01887999999997</v>
      </c>
      <c r="P35" s="67">
        <f>AVERAGE(Résultats_détaillés!AB33:AF33)</f>
        <v>-375.01887999999997</v>
      </c>
      <c r="Q35" s="68">
        <f>AVERAGE(Résultats_détaillés!AG33:AK33)</f>
        <v>-368.01887999999997</v>
      </c>
      <c r="R35" s="68">
        <f t="shared" si="9"/>
        <v>-375.01887999999991</v>
      </c>
    </row>
    <row r="36" spans="1:18" x14ac:dyDescent="0.25">
      <c r="A36" s="45" t="str">
        <f>Résultats_détaillés!A34</f>
        <v>SEIGLE - AVOINE - BLÉ DE PRINTEMPS PANIFIABLE - PRAIRIES (2 ANS)</v>
      </c>
      <c r="B36" s="67">
        <f>AVERAGE(Résultats_détaillés!B34:F34)</f>
        <v>-392.61702000000002</v>
      </c>
      <c r="C36" s="67">
        <f>AVERAGE(Résultats_détaillés!G34:K34)</f>
        <v>-385.61702000000002</v>
      </c>
      <c r="D36" s="68">
        <f>AVERAGE(Résultats_détaillés!L34:P34)</f>
        <v>-378.61702000000002</v>
      </c>
      <c r="E36" s="68">
        <f t="shared" si="6"/>
        <v>-385.61701999999997</v>
      </c>
      <c r="N36" s="45" t="str">
        <f t="shared" si="7"/>
        <v>SEIGLE - AVOINE - BLÉ DE PRINTEMPS PANIFIABLE - PRAIRIES (2 ANS)</v>
      </c>
      <c r="O36" s="67">
        <f>AVERAGE(Résultats_détaillés!W34:AA34)</f>
        <v>-392.61702000000002</v>
      </c>
      <c r="P36" s="67">
        <f>AVERAGE(Résultats_détaillés!AB34:AF34)</f>
        <v>-385.61702000000002</v>
      </c>
      <c r="Q36" s="68">
        <f>AVERAGE(Résultats_détaillés!AG34:AK34)</f>
        <v>-378.61702000000002</v>
      </c>
      <c r="R36" s="68">
        <f t="shared" si="9"/>
        <v>-385.61701999999997</v>
      </c>
    </row>
    <row r="37" spans="1:18" x14ac:dyDescent="0.25">
      <c r="A37" s="45" t="str">
        <f>Résultats_détaillés!A35</f>
        <v>SEIGLE HYBRIDE D'AUTOMNE- AVOINE - BLÉ DE PRINTEMPS PANIFIABLE - PRAIRIES (2 ANS)</v>
      </c>
      <c r="B37" s="67">
        <f>AVERAGE(Résultats_détaillés!B35:F35)</f>
        <v>-203.52963999999997</v>
      </c>
      <c r="C37" s="67">
        <f>AVERAGE(Résultats_détaillés!G35:K35)</f>
        <v>-196.52963999999997</v>
      </c>
      <c r="D37" s="68">
        <f>AVERAGE(Résultats_détaillés!L35:P35)</f>
        <v>-189.52963999999997</v>
      </c>
      <c r="E37" s="68">
        <f t="shared" si="6"/>
        <v>-196.52963999999997</v>
      </c>
      <c r="N37" s="45" t="str">
        <f t="shared" si="7"/>
        <v>SEIGLE HYBRIDE D'AUTOMNE- AVOINE - BLÉ DE PRINTEMPS PANIFIABLE - PRAIRIES (2 ANS)</v>
      </c>
      <c r="O37" s="67">
        <f>AVERAGE(Résultats_détaillés!W35:AA35)</f>
        <v>-203.52963999999997</v>
      </c>
      <c r="P37" s="67">
        <f>AVERAGE(Résultats_détaillés!AB35:AF35)</f>
        <v>-196.52963999999997</v>
      </c>
      <c r="Q37" s="68">
        <f>AVERAGE(Résultats_détaillés!AG35:AK35)</f>
        <v>-189.52963999999997</v>
      </c>
      <c r="R37" s="68">
        <f t="shared" si="9"/>
        <v>-196.52963999999997</v>
      </c>
    </row>
    <row r="38" spans="1:18" ht="5.25" customHeight="1" x14ac:dyDescent="0.25">
      <c r="A38" s="45"/>
      <c r="B38" s="69"/>
      <c r="C38" s="69"/>
      <c r="D38" s="69"/>
      <c r="E38" s="69"/>
      <c r="N38" s="45">
        <f t="shared" si="7"/>
        <v>0</v>
      </c>
      <c r="O38" s="69"/>
      <c r="P38" s="69"/>
      <c r="Q38" s="69"/>
      <c r="R38" s="69"/>
    </row>
    <row r="39" spans="1:18" x14ac:dyDescent="0.25">
      <c r="A39" s="45" t="str">
        <f>Résultats_détaillés!A36</f>
        <v>CHANVRE - BLÉ D'AUTOMNE PANIFIABLE - SARRASIN - BLÉ DE PRINTEMPS PANIFIABLE - PRAIRIES (2 ANS)</v>
      </c>
      <c r="B39" s="70">
        <f>AVERAGE(Résultats_détaillés!B36:G36)</f>
        <v>31.660521499999959</v>
      </c>
      <c r="C39" s="70">
        <f>AVERAGE(Résultats_détaillés!H36:M36)</f>
        <v>37.493854833333295</v>
      </c>
      <c r="D39" s="70">
        <f>AVERAGE(Résultats_détaillés!N36:S36)</f>
        <v>43.327188166666623</v>
      </c>
      <c r="E39" s="71">
        <f t="shared" si="6"/>
        <v>37.493854833333295</v>
      </c>
      <c r="N39" s="45" t="str">
        <f t="shared" si="7"/>
        <v>CHANVRE - BLÉ D'AUTOMNE PANIFIABLE - SARRASIN - BLÉ DE PRINTEMPS PANIFIABLE - PRAIRIES (2 ANS)</v>
      </c>
      <c r="O39" s="70">
        <f>AVERAGE(Résultats_détaillés!W36:AB36)</f>
        <v>31.660521499999959</v>
      </c>
      <c r="P39" s="70">
        <f>AVERAGE(Résultats_détaillés!AC36:AH36)</f>
        <v>37.493854833333295</v>
      </c>
      <c r="Q39" s="70">
        <f>AVERAGE(Résultats_détaillés!AI36:AN36)</f>
        <v>43.327188166666623</v>
      </c>
      <c r="R39" s="71">
        <f>AVERAGE(O39:Q39)</f>
        <v>37.493854833333295</v>
      </c>
    </row>
    <row r="40" spans="1:18" x14ac:dyDescent="0.25">
      <c r="A40" s="45" t="str">
        <f>Résultats_détaillés!A37</f>
        <v>CHANVRE - BLÉ DE PRINTEMPS PANIFIABLE - SARRASIN - BLÉ DE PRINTEMPS PANIFIABLE - PRAIRIES (2 ANS)</v>
      </c>
      <c r="B40" s="70">
        <f>AVERAGE(Résultats_détaillés!B37:G37)</f>
        <v>-37.52144666666667</v>
      </c>
      <c r="C40" s="70">
        <f>AVERAGE(Résultats_détaillés!H37:M37)</f>
        <v>-31.688113333333337</v>
      </c>
      <c r="D40" s="70">
        <f>AVERAGE(Résultats_détaillés!N37:S37)</f>
        <v>-25.854780000000005</v>
      </c>
      <c r="E40" s="71">
        <f t="shared" si="6"/>
        <v>-31.688113333333337</v>
      </c>
      <c r="N40" s="45" t="str">
        <f t="shared" si="7"/>
        <v>CHANVRE - BLÉ DE PRINTEMPS PANIFIABLE - SARRASIN - BLÉ DE PRINTEMPS PANIFIABLE - PRAIRIES (2 ANS)</v>
      </c>
      <c r="O40" s="70">
        <f>AVERAGE(Résultats_détaillés!W37:AB37)</f>
        <v>-37.52144666666667</v>
      </c>
      <c r="P40" s="70">
        <f>AVERAGE(Résultats_détaillés!AC37:AH37)</f>
        <v>-31.688113333333337</v>
      </c>
      <c r="Q40" s="70">
        <f>AVERAGE(Résultats_détaillés!AI37:AN37)</f>
        <v>-25.854780000000005</v>
      </c>
      <c r="R40" s="71">
        <f t="shared" ref="R40:R44" si="10">AVERAGE(O40:Q40)</f>
        <v>-31.688113333333337</v>
      </c>
    </row>
    <row r="41" spans="1:18" x14ac:dyDescent="0.25">
      <c r="A41" s="45" t="str">
        <f>Résultats_détaillés!A38</f>
        <v>CHANVRE - ORGE - SARRASIN - BLÉ DE PRINTEMPS PANIFIABLE - PRAIRIES (2 ANS)</v>
      </c>
      <c r="B41" s="70">
        <f>AVERAGE(Résultats_détaillés!B38:G38)</f>
        <v>-64.329046666666628</v>
      </c>
      <c r="C41" s="70">
        <f>AVERAGE(Résultats_détaillés!H38:M38)</f>
        <v>-58.495713333333299</v>
      </c>
      <c r="D41" s="70">
        <f>AVERAGE(Résultats_détaillés!N38:S38)</f>
        <v>-52.662379999999963</v>
      </c>
      <c r="E41" s="71">
        <f t="shared" si="6"/>
        <v>-58.495713333333299</v>
      </c>
      <c r="N41" s="45" t="str">
        <f t="shared" si="7"/>
        <v>CHANVRE - ORGE - SARRASIN - BLÉ DE PRINTEMPS PANIFIABLE - PRAIRIES (2 ANS)</v>
      </c>
      <c r="O41" s="70">
        <f>AVERAGE(Résultats_détaillés!W38:AB38)</f>
        <v>-64.329046666666628</v>
      </c>
      <c r="P41" s="70">
        <f>AVERAGE(Résultats_détaillés!AC38:AH38)</f>
        <v>-58.495713333333299</v>
      </c>
      <c r="Q41" s="70">
        <f>AVERAGE(Résultats_détaillés!AI38:AN38)</f>
        <v>-52.662379999999963</v>
      </c>
      <c r="R41" s="71">
        <f t="shared" si="10"/>
        <v>-58.495713333333299</v>
      </c>
    </row>
    <row r="42" spans="1:18" x14ac:dyDescent="0.25">
      <c r="A42" s="45" t="str">
        <f>Résultats_détaillés!A39</f>
        <v>CHANVRE - AVOINE - SARRASIN - BLÉ DE PRINTEMPS PANIFIABLE - PRAIRIES (2 ANS)</v>
      </c>
      <c r="B42" s="70">
        <f>AVERAGE(Résultats_détaillés!B39:G39)</f>
        <v>-127.12532999999996</v>
      </c>
      <c r="C42" s="70">
        <f>AVERAGE(Résultats_détaillés!H39:M39)</f>
        <v>-121.29199666666663</v>
      </c>
      <c r="D42" s="70">
        <f>AVERAGE(Résultats_détaillés!N39:S39)</f>
        <v>-115.45866333333329</v>
      </c>
      <c r="E42" s="71">
        <f t="shared" si="6"/>
        <v>-121.29199666666663</v>
      </c>
      <c r="N42" s="45" t="str">
        <f t="shared" si="7"/>
        <v>CHANVRE - AVOINE - SARRASIN - BLÉ DE PRINTEMPS PANIFIABLE - PRAIRIES (2 ANS)</v>
      </c>
      <c r="O42" s="70">
        <f>AVERAGE(Résultats_détaillés!W39:AB39)</f>
        <v>-127.12532999999996</v>
      </c>
      <c r="P42" s="70">
        <f>AVERAGE(Résultats_détaillés!AC39:AH39)</f>
        <v>-121.29199666666663</v>
      </c>
      <c r="Q42" s="70">
        <f>AVERAGE(Résultats_détaillés!AI39:AN39)</f>
        <v>-115.45866333333329</v>
      </c>
      <c r="R42" s="71">
        <f t="shared" si="10"/>
        <v>-121.29199666666663</v>
      </c>
    </row>
    <row r="43" spans="1:18" x14ac:dyDescent="0.25">
      <c r="A43" s="45" t="str">
        <f>Résultats_détaillés!A40</f>
        <v>CHANVRE - SEIGLE - SARRASIN - BLÉ DE PRINTEMPS PANIFIABLE - PRAIRIES (2 ANS)</v>
      </c>
      <c r="B43" s="70">
        <f>AVERAGE(Résultats_détaillés!B40:G40)</f>
        <v>-73.160830000000033</v>
      </c>
      <c r="C43" s="70">
        <f>AVERAGE(Résultats_détaillés!H40:M40)</f>
        <v>-67.327496666666704</v>
      </c>
      <c r="D43" s="70">
        <f>AVERAGE(Résultats_détaillés!N40:S40)</f>
        <v>-61.494163333333368</v>
      </c>
      <c r="E43" s="71">
        <f t="shared" si="6"/>
        <v>-67.327496666666704</v>
      </c>
      <c r="N43" s="45" t="str">
        <f t="shared" si="7"/>
        <v>CHANVRE - SEIGLE - SARRASIN - BLÉ DE PRINTEMPS PANIFIABLE - PRAIRIES (2 ANS)</v>
      </c>
      <c r="O43" s="70">
        <f>AVERAGE(Résultats_détaillés!W40:AB40)</f>
        <v>-73.160830000000033</v>
      </c>
      <c r="P43" s="70">
        <f>AVERAGE(Résultats_détaillés!AC40:AH40)</f>
        <v>-67.327496666666704</v>
      </c>
      <c r="Q43" s="70">
        <f>AVERAGE(Résultats_détaillés!AI40:AN40)</f>
        <v>-61.494163333333368</v>
      </c>
      <c r="R43" s="71">
        <f t="shared" si="10"/>
        <v>-67.327496666666704</v>
      </c>
    </row>
    <row r="44" spans="1:18" x14ac:dyDescent="0.25">
      <c r="A44" s="45" t="str">
        <f>Résultats_détaillés!A41</f>
        <v>CHANVRE - SEIGLE HYBRIDE D'AUTOMNE - SARRASIN - BLÉ DE PRINTEMPS PANIFIABLE - PRAIRIES (2 ANS)</v>
      </c>
      <c r="B44" s="72">
        <f>AVERAGE(Résultats_détaillés!B41:G41)</f>
        <v>84.411986666666664</v>
      </c>
      <c r="C44" s="72">
        <f>AVERAGE(Résultats_détaillés!H41:M41)</f>
        <v>90.245319999999992</v>
      </c>
      <c r="D44" s="72">
        <f>AVERAGE(Résultats_détaillés!N41:S41)</f>
        <v>96.078653333333321</v>
      </c>
      <c r="E44" s="73">
        <f t="shared" si="6"/>
        <v>90.245319999999992</v>
      </c>
      <c r="N44" s="45" t="str">
        <f t="shared" si="7"/>
        <v>CHANVRE - SEIGLE HYBRIDE D'AUTOMNE - SARRASIN - BLÉ DE PRINTEMPS PANIFIABLE - PRAIRIES (2 ANS)</v>
      </c>
      <c r="O44" s="72">
        <f>AVERAGE(Résultats_détaillés!W41:AB41)</f>
        <v>84.411986666666664</v>
      </c>
      <c r="P44" s="72">
        <f>AVERAGE(Résultats_détaillés!AC41:AH41)</f>
        <v>90.245319999999992</v>
      </c>
      <c r="Q44" s="72">
        <f>AVERAGE(Résultats_détaillés!AI41:AN41)</f>
        <v>96.078653333333321</v>
      </c>
      <c r="R44" s="73">
        <f t="shared" si="10"/>
        <v>90.245319999999992</v>
      </c>
    </row>
  </sheetData>
  <mergeCells count="4">
    <mergeCell ref="A1:E1"/>
    <mergeCell ref="A25:E25"/>
    <mergeCell ref="N1:R1"/>
    <mergeCell ref="N25:R2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235C37FF0B7BF40A469807B3557D740" ma:contentTypeVersion="16" ma:contentTypeDescription="Crée un document." ma:contentTypeScope="" ma:versionID="a5e1e57425f9831ac689da1a6aed8b6a">
  <xsd:schema xmlns:xsd="http://www.w3.org/2001/XMLSchema" xmlns:xs="http://www.w3.org/2001/XMLSchema" xmlns:p="http://schemas.microsoft.com/office/2006/metadata/properties" xmlns:ns2="b9bbbdfe-e28d-4400-a787-fa8689654ece" xmlns:ns3="b995caa8-c599-465c-85e6-d061a0aa3d29" targetNamespace="http://schemas.microsoft.com/office/2006/metadata/properties" ma:root="true" ma:fieldsID="b8af965f957082030aafaeea9a3e1eb1" ns2:_="" ns3:_="">
    <xsd:import namespace="b9bbbdfe-e28d-4400-a787-fa8689654ece"/>
    <xsd:import namespace="b995caa8-c599-465c-85e6-d061a0aa3d29"/>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bbbdfe-e28d-4400-a787-fa8689654ec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Length (seconds)" ma:internalName="MediaLengthInSeconds" ma:readOnly="true">
      <xsd:simpleType>
        <xsd:restriction base="dms:Unknown"/>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Balises d’images" ma:readOnly="false" ma:fieldId="{5cf76f15-5ced-4ddc-b409-7134ff3c332f}" ma:taxonomyMulti="true" ma:sspId="3e165e1e-8df5-4a15-b652-d937b5ab2de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b995caa8-c599-465c-85e6-d061a0aa3d29" elementFormDefault="qualified">
    <xsd:import namespace="http://schemas.microsoft.com/office/2006/documentManagement/types"/>
    <xsd:import namespace="http://schemas.microsoft.com/office/infopath/2007/PartnerControls"/>
    <xsd:element name="SharedWithUsers" ma:index="1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Partagé avec détails" ma:internalName="SharedWithDetails" ma:readOnly="true">
      <xsd:simpleType>
        <xsd:restriction base="dms:Note">
          <xsd:maxLength value="255"/>
        </xsd:restriction>
      </xsd:simpleType>
    </xsd:element>
    <xsd:element name="TaxCatchAll" ma:index="23" nillable="true" ma:displayName="Taxonomy Catch All Column" ma:hidden="true" ma:list="{40efd461-0863-4a5d-8e34-26da13f49d40}" ma:internalName="TaxCatchAll" ma:showField="CatchAllData" ma:web="b995caa8-c599-465c-85e6-d061a0aa3d2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FFFD9FC-DF29-4DD4-8D6E-2C0CEA07780E}">
  <ds:schemaRefs>
    <ds:schemaRef ds:uri="http://schemas.microsoft.com/sharepoint/v3/contenttype/forms"/>
  </ds:schemaRefs>
</ds:datastoreItem>
</file>

<file path=customXml/itemProps2.xml><?xml version="1.0" encoding="utf-8"?>
<ds:datastoreItem xmlns:ds="http://schemas.openxmlformats.org/officeDocument/2006/customXml" ds:itemID="{6A834EA0-E63F-49BD-9352-A50AE7DF36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9bbbdfe-e28d-4400-a787-fa8689654ece"/>
    <ds:schemaRef ds:uri="b995caa8-c599-465c-85e6-d061a0aa3d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19</vt:i4>
      </vt:variant>
      <vt:variant>
        <vt:lpstr>Plages nommées</vt:lpstr>
      </vt:variant>
      <vt:variant>
        <vt:i4>4</vt:i4>
      </vt:variant>
    </vt:vector>
  </HeadingPairs>
  <TitlesOfParts>
    <vt:vector size="23" baseType="lpstr">
      <vt:lpstr>GuideUtilisation</vt:lpstr>
      <vt:lpstr>Saisies</vt:lpstr>
      <vt:lpstr>Gains agronomiques</vt:lpstr>
      <vt:lpstr>Chanvre</vt:lpstr>
      <vt:lpstr>Sarrasin</vt:lpstr>
      <vt:lpstr>Orge</vt:lpstr>
      <vt:lpstr>Avoine</vt:lpstr>
      <vt:lpstr>Blé_d'automne</vt:lpstr>
      <vt:lpstr>Blé_printemps</vt:lpstr>
      <vt:lpstr>Seigle</vt:lpstr>
      <vt:lpstr>Seigle_hybride</vt:lpstr>
      <vt:lpstr>Prairie</vt:lpstr>
      <vt:lpstr>Cultures de couverture</vt:lpstr>
      <vt:lpstr>ASRA_Calculs</vt:lpstr>
      <vt:lpstr>Rendements_CECPA</vt:lpstr>
      <vt:lpstr>Prix_CECPA</vt:lpstr>
      <vt:lpstr>Intermédiaire_Prod-Résultats</vt:lpstr>
      <vt:lpstr>Résultats_détaillés</vt:lpstr>
      <vt:lpstr>Résultats_sommaires</vt:lpstr>
      <vt:lpstr>Prix</vt:lpstr>
      <vt:lpstr>Prix_Titre</vt:lpstr>
      <vt:lpstr>Rend</vt:lpstr>
      <vt:lpstr>Rend_Titre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doria</dc:creator>
  <cp:lastModifiedBy>Rolande Bicaba</cp:lastModifiedBy>
  <cp:lastPrinted>2022-08-23T13:06:14Z</cp:lastPrinted>
  <dcterms:created xsi:type="dcterms:W3CDTF">2022-08-16T13:44:10Z</dcterms:created>
  <dcterms:modified xsi:type="dcterms:W3CDTF">2023-02-24T20:34:16Z</dcterms:modified>
</cp:coreProperties>
</file>