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xl/persons/person.xml" ContentType="application/vnd.ms-excel.person+xml"/>
  <Override PartName="/xl/threadedComments/threadedComment1.xml" ContentType="application/vnd.ms-excel.threadedcomments+xml"/>
  <Override PartName="/xl/threadedComments/threadedComment2.xml" ContentType="application/vnd.ms-excel.threadedcomments+xml"/>
  <Override PartName="/xl/threadedComments/threadedComment3.xml" ContentType="application/vnd.ms-excel.threadedcomment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026"/>
  <workbookPr defaultThemeVersion="166925"/>
  <mc:AlternateContent xmlns:mc="http://schemas.openxmlformats.org/markup-compatibility/2006">
    <mc:Choice Requires="x15">
      <x15ac:absPath xmlns:x15ac="http://schemas.microsoft.com/office/spreadsheetml/2010/11/ac" url="https://fpccq-my.sharepoint.com/personal/rbicaba_pgq_ca/Documents/Bureau/CGQ/"/>
    </mc:Choice>
  </mc:AlternateContent>
  <xr:revisionPtr revIDLastSave="0" documentId="8_{49996B8A-DDB6-47E4-B5BE-7BD1C730A050}" xr6:coauthVersionLast="47" xr6:coauthVersionMax="47" xr10:uidLastSave="{00000000-0000-0000-0000-000000000000}"/>
  <bookViews>
    <workbookView xWindow="-120" yWindow="-120" windowWidth="29040" windowHeight="15840" firstSheet="3" activeTab="17" xr2:uid="{46BA2E5C-FF92-4135-AB58-C749BADE77E8}"/>
  </bookViews>
  <sheets>
    <sheet name="GuideUtilisation" sheetId="1" r:id="rId1"/>
    <sheet name="Saisies" sheetId="2" r:id="rId2"/>
    <sheet name="Gains agronomiques" sheetId="17" state="hidden" r:id="rId3"/>
    <sheet name="Maïs-grain" sheetId="12" r:id="rId4"/>
    <sheet name="Soya" sheetId="31" r:id="rId5"/>
    <sheet name="Orge" sheetId="32" r:id="rId6"/>
    <sheet name="Avoine" sheetId="33" r:id="rId7"/>
    <sheet name="Blé_d'automne" sheetId="34" r:id="rId8"/>
    <sheet name="Blé_printemps" sheetId="35" r:id="rId9"/>
    <sheet name="Seigle" sheetId="36" r:id="rId10"/>
    <sheet name="Seigle_hybride" sheetId="37" r:id="rId11"/>
    <sheet name="Cultures de couverture" sheetId="26" state="hidden" r:id="rId12"/>
    <sheet name="ASRA_Calculs" sheetId="22" state="hidden" r:id="rId13"/>
    <sheet name="Rendements_CECPA" sheetId="4" state="hidden" r:id="rId14"/>
    <sheet name="Prix_CECPA" sheetId="5" state="hidden" r:id="rId15"/>
    <sheet name="Intermédiaire_Prod-Résultats" sheetId="21" state="hidden" r:id="rId16"/>
    <sheet name="Résultats_détaillés" sheetId="19" r:id="rId17"/>
    <sheet name="Résultats_sommaires" sheetId="38" r:id="rId18"/>
  </sheets>
  <definedNames>
    <definedName name="Prix">Prix_CECPA!$A$2:$B$10</definedName>
    <definedName name="Prix_Titre">Prix_CECPA!$A$2:$B$2</definedName>
    <definedName name="Rend">Rendements_CECPA!$A$2:$B$10</definedName>
    <definedName name="Rend_Titre">Rendements_CECPA!$A$2:$B$2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BV20" i="21" l="1"/>
  <c r="BV17" i="21"/>
  <c r="BV5" i="21"/>
  <c r="BS20" i="21"/>
  <c r="BS17" i="21"/>
  <c r="BS5" i="21"/>
  <c r="BP20" i="21"/>
  <c r="BP17" i="21"/>
  <c r="BP5" i="21"/>
  <c r="BM20" i="21"/>
  <c r="BM17" i="21"/>
  <c r="BM5" i="21"/>
  <c r="BJ20" i="21"/>
  <c r="BJ17" i="21"/>
  <c r="BJ5" i="21"/>
  <c r="BG20" i="21"/>
  <c r="BG17" i="21"/>
  <c r="BG5" i="21"/>
  <c r="BD20" i="21"/>
  <c r="BD17" i="21"/>
  <c r="BD5" i="21"/>
  <c r="BA20" i="21"/>
  <c r="BA17" i="21"/>
  <c r="BA16" i="21"/>
  <c r="BA5" i="21"/>
  <c r="Z20" i="21"/>
  <c r="Z17" i="21"/>
  <c r="Z5" i="21"/>
  <c r="W20" i="21"/>
  <c r="W17" i="21"/>
  <c r="W5" i="21"/>
  <c r="T20" i="21"/>
  <c r="T17" i="21"/>
  <c r="T5" i="21"/>
  <c r="Q20" i="21"/>
  <c r="Q17" i="21"/>
  <c r="Q5" i="21"/>
  <c r="N20" i="21"/>
  <c r="N17" i="21"/>
  <c r="N5" i="21"/>
  <c r="K19" i="21"/>
  <c r="K17" i="21"/>
  <c r="K5" i="21"/>
  <c r="H20" i="21"/>
  <c r="H17" i="21"/>
  <c r="H5" i="21"/>
  <c r="E16" i="21"/>
  <c r="E20" i="21"/>
  <c r="E17" i="21"/>
  <c r="E5" i="21"/>
  <c r="D16" i="21"/>
  <c r="BU20" i="21"/>
  <c r="BU17" i="21"/>
  <c r="BU5" i="21"/>
  <c r="BR20" i="21"/>
  <c r="BR17" i="21"/>
  <c r="BR5" i="21"/>
  <c r="BO20" i="21"/>
  <c r="BO17" i="21"/>
  <c r="BO5" i="21"/>
  <c r="BL20" i="21"/>
  <c r="BL17" i="21"/>
  <c r="BL5" i="21"/>
  <c r="BI20" i="21"/>
  <c r="BI17" i="21"/>
  <c r="BI5" i="21"/>
  <c r="BF20" i="21"/>
  <c r="BF17" i="21"/>
  <c r="BF5" i="21"/>
  <c r="BC20" i="21"/>
  <c r="BC17" i="21"/>
  <c r="BC5" i="21"/>
  <c r="AZ20" i="21"/>
  <c r="AZ17" i="21"/>
  <c r="AZ16" i="21"/>
  <c r="AZ5" i="21"/>
  <c r="Y20" i="21"/>
  <c r="Y17" i="21"/>
  <c r="Y5" i="21"/>
  <c r="V20" i="21"/>
  <c r="V17" i="21"/>
  <c r="V5" i="21"/>
  <c r="S20" i="21"/>
  <c r="S17" i="21"/>
  <c r="S5" i="21"/>
  <c r="P20" i="21"/>
  <c r="P17" i="21"/>
  <c r="P5" i="21"/>
  <c r="M20" i="21"/>
  <c r="M17" i="21"/>
  <c r="M5" i="21"/>
  <c r="J20" i="21"/>
  <c r="J17" i="21"/>
  <c r="J5" i="21"/>
  <c r="G20" i="21"/>
  <c r="G17" i="21"/>
  <c r="G5" i="21"/>
  <c r="D20" i="21"/>
  <c r="D17" i="21"/>
  <c r="D5" i="21"/>
  <c r="M6" i="19" l="1"/>
  <c r="M18" i="19" s="1"/>
  <c r="M7" i="19"/>
  <c r="M19" i="19" s="1"/>
  <c r="M8" i="19"/>
  <c r="M20" i="19" s="1"/>
  <c r="M9" i="19"/>
  <c r="M21" i="19" s="1"/>
  <c r="M10" i="19"/>
  <c r="M22" i="19" s="1"/>
  <c r="M5" i="19"/>
  <c r="M17" i="19" s="1"/>
  <c r="A18" i="19"/>
  <c r="A19" i="19"/>
  <c r="A20" i="19"/>
  <c r="A21" i="19"/>
  <c r="A22" i="19"/>
  <c r="A17" i="19"/>
  <c r="BA23" i="21"/>
  <c r="AZ23" i="21"/>
  <c r="AB23" i="21"/>
  <c r="AC23" i="21" s="1"/>
  <c r="E23" i="21"/>
  <c r="D23" i="21"/>
  <c r="B50" i="2"/>
  <c r="B4" i="26"/>
  <c r="D21" i="37"/>
  <c r="D18" i="37"/>
  <c r="E16" i="37"/>
  <c r="D21" i="34"/>
  <c r="D18" i="34"/>
  <c r="B7" i="4" l="1"/>
  <c r="B10" i="4" s="1"/>
  <c r="B51" i="2"/>
  <c r="D21" i="36"/>
  <c r="D18" i="36"/>
  <c r="N29" i="38"/>
  <c r="N28" i="38"/>
  <c r="N27" i="38"/>
  <c r="N26" i="38"/>
  <c r="N25" i="38"/>
  <c r="N24" i="38"/>
  <c r="N8" i="38"/>
  <c r="N7" i="38"/>
  <c r="N6" i="38"/>
  <c r="N5" i="38"/>
  <c r="N4" i="38"/>
  <c r="N3" i="38"/>
  <c r="A24" i="38"/>
  <c r="A25" i="38"/>
  <c r="A26" i="38"/>
  <c r="A27" i="38"/>
  <c r="A28" i="38"/>
  <c r="A29" i="38"/>
  <c r="A3" i="38"/>
  <c r="A4" i="38"/>
  <c r="A5" i="38"/>
  <c r="A6" i="38"/>
  <c r="A7" i="38"/>
  <c r="A8" i="38"/>
  <c r="BV30" i="21" l="1"/>
  <c r="BV29" i="21"/>
  <c r="BV23" i="21"/>
  <c r="BV6" i="21"/>
  <c r="BV7" i="21"/>
  <c r="BU30" i="21"/>
  <c r="BU29" i="21"/>
  <c r="BU16" i="21"/>
  <c r="BV16" i="21" s="1"/>
  <c r="BU18" i="21"/>
  <c r="BV18" i="21" s="1"/>
  <c r="BU19" i="21"/>
  <c r="BV19" i="21" s="1"/>
  <c r="BU21" i="21"/>
  <c r="BV21" i="21" s="1"/>
  <c r="BU22" i="21"/>
  <c r="BV22" i="21" s="1"/>
  <c r="BU23" i="21"/>
  <c r="BU15" i="21"/>
  <c r="BV15" i="21" s="1"/>
  <c r="BU7" i="21"/>
  <c r="BU6" i="21"/>
  <c r="BS30" i="21"/>
  <c r="BS29" i="21"/>
  <c r="BS16" i="21"/>
  <c r="BS15" i="21"/>
  <c r="BS7" i="21"/>
  <c r="BS6" i="21"/>
  <c r="BR30" i="21"/>
  <c r="BR29" i="21"/>
  <c r="BR16" i="21"/>
  <c r="BR18" i="21"/>
  <c r="BS18" i="21" s="1"/>
  <c r="BR19" i="21"/>
  <c r="BS19" i="21" s="1"/>
  <c r="BR21" i="21"/>
  <c r="BS21" i="21" s="1"/>
  <c r="BR22" i="21"/>
  <c r="BS22" i="21" s="1"/>
  <c r="BR23" i="21"/>
  <c r="BS23" i="21" s="1"/>
  <c r="BR15" i="21"/>
  <c r="BR7" i="21"/>
  <c r="BR6" i="21"/>
  <c r="BP30" i="21"/>
  <c r="BP29" i="21"/>
  <c r="BP6" i="21"/>
  <c r="BP7" i="21"/>
  <c r="BO30" i="21"/>
  <c r="BO29" i="21"/>
  <c r="BO16" i="21"/>
  <c r="BP16" i="21" s="1"/>
  <c r="BO18" i="21"/>
  <c r="BP18" i="21" s="1"/>
  <c r="BO19" i="21"/>
  <c r="BP19" i="21" s="1"/>
  <c r="BO21" i="21"/>
  <c r="BP21" i="21" s="1"/>
  <c r="BO22" i="21"/>
  <c r="BP22" i="21" s="1"/>
  <c r="BO23" i="21"/>
  <c r="BP23" i="21" s="1"/>
  <c r="BO15" i="21"/>
  <c r="BP15" i="21" s="1"/>
  <c r="BO7" i="21"/>
  <c r="BO6" i="21"/>
  <c r="BM30" i="21"/>
  <c r="BM29" i="21"/>
  <c r="BM21" i="21"/>
  <c r="BM7" i="21"/>
  <c r="BM6" i="21"/>
  <c r="BL30" i="21"/>
  <c r="BL29" i="21"/>
  <c r="BL16" i="21"/>
  <c r="BM16" i="21" s="1"/>
  <c r="BL18" i="21"/>
  <c r="BM18" i="21" s="1"/>
  <c r="BL19" i="21"/>
  <c r="BM19" i="21" s="1"/>
  <c r="BL21" i="21"/>
  <c r="BL22" i="21"/>
  <c r="BM22" i="21" s="1"/>
  <c r="BL23" i="21"/>
  <c r="BM23" i="21" s="1"/>
  <c r="BL15" i="21"/>
  <c r="BM15" i="21" s="1"/>
  <c r="BL7" i="21"/>
  <c r="BL6" i="21"/>
  <c r="BJ30" i="21"/>
  <c r="BJ29" i="21"/>
  <c r="BJ6" i="21"/>
  <c r="BJ7" i="21"/>
  <c r="BI30" i="21"/>
  <c r="BI29" i="21"/>
  <c r="BI16" i="21"/>
  <c r="BJ16" i="21" s="1"/>
  <c r="BI18" i="21"/>
  <c r="BJ18" i="21" s="1"/>
  <c r="BI19" i="21"/>
  <c r="BJ19" i="21" s="1"/>
  <c r="BI21" i="21"/>
  <c r="BJ21" i="21" s="1"/>
  <c r="BI22" i="21"/>
  <c r="BJ22" i="21" s="1"/>
  <c r="BI23" i="21"/>
  <c r="BJ23" i="21" s="1"/>
  <c r="BI15" i="21"/>
  <c r="BJ15" i="21" s="1"/>
  <c r="BI7" i="21"/>
  <c r="BI6" i="21"/>
  <c r="BG30" i="21"/>
  <c r="BG29" i="21"/>
  <c r="BG15" i="21"/>
  <c r="BG6" i="21"/>
  <c r="BG7" i="21"/>
  <c r="BF30" i="21"/>
  <c r="BF29" i="21"/>
  <c r="BF16" i="21"/>
  <c r="BG16" i="21" s="1"/>
  <c r="BF18" i="21"/>
  <c r="BG18" i="21" s="1"/>
  <c r="BF19" i="21"/>
  <c r="BG19" i="21" s="1"/>
  <c r="BF21" i="21"/>
  <c r="BG21" i="21" s="1"/>
  <c r="BF22" i="21"/>
  <c r="BG22" i="21" s="1"/>
  <c r="BF23" i="21"/>
  <c r="BG23" i="21" s="1"/>
  <c r="BF15" i="21"/>
  <c r="BF7" i="21"/>
  <c r="BF6" i="21"/>
  <c r="BD30" i="21"/>
  <c r="BD29" i="21"/>
  <c r="BD16" i="21"/>
  <c r="BD22" i="21"/>
  <c r="BD6" i="21"/>
  <c r="BD7" i="21"/>
  <c r="BC30" i="21"/>
  <c r="BC29" i="21"/>
  <c r="BC16" i="21"/>
  <c r="BC18" i="21"/>
  <c r="BD18" i="21" s="1"/>
  <c r="BC19" i="21"/>
  <c r="BD19" i="21" s="1"/>
  <c r="BC21" i="21"/>
  <c r="BD21" i="21" s="1"/>
  <c r="BC22" i="21"/>
  <c r="BC23" i="21"/>
  <c r="BD23" i="21" s="1"/>
  <c r="BC15" i="21"/>
  <c r="BD15" i="21" s="1"/>
  <c r="BC7" i="21"/>
  <c r="BC6" i="21"/>
  <c r="BA6" i="21"/>
  <c r="AZ30" i="21"/>
  <c r="BA30" i="21" s="1"/>
  <c r="AZ29" i="21"/>
  <c r="BA29" i="21" s="1"/>
  <c r="AZ18" i="21"/>
  <c r="BA18" i="21" s="1"/>
  <c r="AZ19" i="21"/>
  <c r="BA19" i="21" s="1"/>
  <c r="AZ21" i="21"/>
  <c r="BA21" i="21" s="1"/>
  <c r="AZ22" i="21"/>
  <c r="BA22" i="21" s="1"/>
  <c r="AZ7" i="21"/>
  <c r="BA7" i="21" s="1"/>
  <c r="AZ6" i="21"/>
  <c r="AX30" i="21"/>
  <c r="AX29" i="21"/>
  <c r="AX15" i="21"/>
  <c r="AX6" i="21"/>
  <c r="AX7" i="21"/>
  <c r="AW30" i="21"/>
  <c r="AW29" i="21"/>
  <c r="AW16" i="21"/>
  <c r="AX16" i="21" s="1"/>
  <c r="AW18" i="21"/>
  <c r="AX18" i="21" s="1"/>
  <c r="AW19" i="21"/>
  <c r="AX19" i="21" s="1"/>
  <c r="AW21" i="21"/>
  <c r="AX21" i="21" s="1"/>
  <c r="AW22" i="21"/>
  <c r="AX22" i="21" s="1"/>
  <c r="AW23" i="21"/>
  <c r="AX23" i="21" s="1"/>
  <c r="AW15" i="21"/>
  <c r="AW7" i="21"/>
  <c r="AW6" i="21"/>
  <c r="AU30" i="21"/>
  <c r="AU29" i="21"/>
  <c r="AU22" i="21"/>
  <c r="AU7" i="21"/>
  <c r="AU6" i="21"/>
  <c r="AT30" i="21"/>
  <c r="AT29" i="21"/>
  <c r="AT16" i="21"/>
  <c r="AU16" i="21" s="1"/>
  <c r="AT18" i="21"/>
  <c r="AU18" i="21" s="1"/>
  <c r="AT19" i="21"/>
  <c r="AU19" i="21" s="1"/>
  <c r="AT21" i="21"/>
  <c r="AU21" i="21" s="1"/>
  <c r="AT22" i="21"/>
  <c r="AT23" i="21"/>
  <c r="AU23" i="21" s="1"/>
  <c r="AT15" i="21"/>
  <c r="AU15" i="21" s="1"/>
  <c r="AT7" i="21"/>
  <c r="AT6" i="21"/>
  <c r="AR30" i="21"/>
  <c r="AR29" i="21"/>
  <c r="AR16" i="21"/>
  <c r="AR7" i="21"/>
  <c r="AR6" i="21"/>
  <c r="AQ30" i="21"/>
  <c r="AQ29" i="21"/>
  <c r="AQ16" i="21"/>
  <c r="AQ18" i="21"/>
  <c r="AR18" i="21" s="1"/>
  <c r="AQ19" i="21"/>
  <c r="AR19" i="21" s="1"/>
  <c r="AQ21" i="21"/>
  <c r="AR21" i="21" s="1"/>
  <c r="AQ22" i="21"/>
  <c r="AR22" i="21" s="1"/>
  <c r="AQ23" i="21"/>
  <c r="AR23" i="21" s="1"/>
  <c r="AQ15" i="21"/>
  <c r="AR15" i="21" s="1"/>
  <c r="AQ7" i="21"/>
  <c r="AQ6" i="21"/>
  <c r="AO30" i="21"/>
  <c r="AO29" i="21"/>
  <c r="AO7" i="21"/>
  <c r="AO6" i="21"/>
  <c r="AN30" i="21"/>
  <c r="AN29" i="21"/>
  <c r="AN16" i="21"/>
  <c r="AO16" i="21" s="1"/>
  <c r="AN18" i="21"/>
  <c r="AO18" i="21" s="1"/>
  <c r="AN19" i="21"/>
  <c r="AO19" i="21" s="1"/>
  <c r="AN21" i="21"/>
  <c r="AO21" i="21" s="1"/>
  <c r="AN22" i="21"/>
  <c r="AO22" i="21" s="1"/>
  <c r="AN23" i="21"/>
  <c r="AO23" i="21" s="1"/>
  <c r="AN15" i="21"/>
  <c r="AO15" i="21" s="1"/>
  <c r="AN6" i="21"/>
  <c r="AN7" i="21"/>
  <c r="AL30" i="21"/>
  <c r="AL29" i="21"/>
  <c r="AL19" i="21"/>
  <c r="AL15" i="21"/>
  <c r="AL6" i="21"/>
  <c r="AL7" i="21"/>
  <c r="AK30" i="21"/>
  <c r="AK29" i="21"/>
  <c r="AK16" i="21"/>
  <c r="AL16" i="21" s="1"/>
  <c r="AK18" i="21"/>
  <c r="AL18" i="21" s="1"/>
  <c r="AK19" i="21"/>
  <c r="AK21" i="21"/>
  <c r="AL21" i="21" s="1"/>
  <c r="AK22" i="21"/>
  <c r="AL22" i="21" s="1"/>
  <c r="AK23" i="21"/>
  <c r="AL23" i="21" s="1"/>
  <c r="AK15" i="21"/>
  <c r="AK6" i="21"/>
  <c r="AK7" i="21"/>
  <c r="AI30" i="21"/>
  <c r="AI29" i="21"/>
  <c r="AI15" i="21"/>
  <c r="AI7" i="21"/>
  <c r="AI6" i="21"/>
  <c r="AH30" i="21"/>
  <c r="AH29" i="21"/>
  <c r="AH16" i="21"/>
  <c r="AI16" i="21" s="1"/>
  <c r="AH18" i="21"/>
  <c r="AI18" i="21" s="1"/>
  <c r="AH19" i="21"/>
  <c r="AI19" i="21" s="1"/>
  <c r="AH21" i="21"/>
  <c r="AI21" i="21" s="1"/>
  <c r="AH22" i="21"/>
  <c r="AI22" i="21" s="1"/>
  <c r="AH23" i="21"/>
  <c r="AI23" i="21" s="1"/>
  <c r="AH15" i="21"/>
  <c r="AH7" i="21"/>
  <c r="AH6" i="21"/>
  <c r="AF30" i="21"/>
  <c r="AF29" i="21"/>
  <c r="AF16" i="21"/>
  <c r="AF22" i="21"/>
  <c r="AF7" i="21"/>
  <c r="AF6" i="21"/>
  <c r="AE30" i="21"/>
  <c r="AE29" i="21"/>
  <c r="AE22" i="21"/>
  <c r="AE23" i="21"/>
  <c r="AF23" i="21" s="1"/>
  <c r="AE21" i="21"/>
  <c r="AF21" i="21" s="1"/>
  <c r="AE16" i="21"/>
  <c r="AE18" i="21"/>
  <c r="AF18" i="21" s="1"/>
  <c r="AE19" i="21"/>
  <c r="AF19" i="21" s="1"/>
  <c r="AE15" i="21"/>
  <c r="AF15" i="21" s="1"/>
  <c r="AE7" i="21"/>
  <c r="AE6" i="21"/>
  <c r="AC22" i="21"/>
  <c r="AC16" i="21"/>
  <c r="AC6" i="21"/>
  <c r="AB30" i="21"/>
  <c r="AC30" i="21" s="1"/>
  <c r="AB29" i="21"/>
  <c r="AC29" i="21" s="1"/>
  <c r="AB22" i="21"/>
  <c r="AB21" i="21"/>
  <c r="AC21" i="21" s="1"/>
  <c r="AB19" i="21"/>
  <c r="AC19" i="21" s="1"/>
  <c r="AB18" i="21"/>
  <c r="AB7" i="21"/>
  <c r="AC7" i="21" s="1"/>
  <c r="AB6" i="21"/>
  <c r="Z30" i="21"/>
  <c r="Z29" i="21"/>
  <c r="Z23" i="21"/>
  <c r="Z6" i="21"/>
  <c r="Z7" i="21"/>
  <c r="Y30" i="21"/>
  <c r="Y29" i="21"/>
  <c r="Y16" i="21"/>
  <c r="Z16" i="21" s="1"/>
  <c r="Y18" i="21"/>
  <c r="Z18" i="21" s="1"/>
  <c r="Y19" i="21"/>
  <c r="Z19" i="21" s="1"/>
  <c r="Y21" i="21"/>
  <c r="Z21" i="21" s="1"/>
  <c r="Y22" i="21"/>
  <c r="Z22" i="21" s="1"/>
  <c r="Y23" i="21"/>
  <c r="Y15" i="21"/>
  <c r="Z15" i="21" s="1"/>
  <c r="Y6" i="21"/>
  <c r="Y7" i="21"/>
  <c r="W30" i="21"/>
  <c r="W29" i="21"/>
  <c r="W16" i="21"/>
  <c r="W22" i="21"/>
  <c r="W6" i="21"/>
  <c r="W7" i="21"/>
  <c r="V30" i="21"/>
  <c r="V29" i="21"/>
  <c r="V16" i="21"/>
  <c r="V18" i="21"/>
  <c r="W18" i="21" s="1"/>
  <c r="V19" i="21"/>
  <c r="W19" i="21" s="1"/>
  <c r="V21" i="21"/>
  <c r="W21" i="21" s="1"/>
  <c r="V22" i="21"/>
  <c r="V23" i="21"/>
  <c r="W23" i="21" s="1"/>
  <c r="V15" i="21"/>
  <c r="W15" i="21" s="1"/>
  <c r="V6" i="21"/>
  <c r="V7" i="21"/>
  <c r="T30" i="21"/>
  <c r="T29" i="21"/>
  <c r="T22" i="21"/>
  <c r="T6" i="21"/>
  <c r="T7" i="21"/>
  <c r="S30" i="21"/>
  <c r="S29" i="21"/>
  <c r="S16" i="21"/>
  <c r="T16" i="21" s="1"/>
  <c r="S18" i="21"/>
  <c r="T18" i="21" s="1"/>
  <c r="S19" i="21"/>
  <c r="T19" i="21" s="1"/>
  <c r="S21" i="21"/>
  <c r="T21" i="21" s="1"/>
  <c r="S22" i="21"/>
  <c r="S23" i="21"/>
  <c r="T23" i="21" s="1"/>
  <c r="S15" i="21"/>
  <c r="T15" i="21" s="1"/>
  <c r="S6" i="21"/>
  <c r="S7" i="21"/>
  <c r="Q30" i="21"/>
  <c r="Q29" i="21"/>
  <c r="Q16" i="21"/>
  <c r="Q21" i="21"/>
  <c r="Q22" i="21"/>
  <c r="Q6" i="21"/>
  <c r="Q7" i="21"/>
  <c r="P30" i="21"/>
  <c r="P29" i="21"/>
  <c r="P16" i="21"/>
  <c r="P18" i="21"/>
  <c r="Q18" i="21" s="1"/>
  <c r="P19" i="21"/>
  <c r="Q19" i="21" s="1"/>
  <c r="P21" i="21"/>
  <c r="P22" i="21"/>
  <c r="P23" i="21"/>
  <c r="Q23" i="21" s="1"/>
  <c r="P15" i="21"/>
  <c r="Q15" i="21" s="1"/>
  <c r="P6" i="21"/>
  <c r="P7" i="21"/>
  <c r="N6" i="21"/>
  <c r="M30" i="21"/>
  <c r="N30" i="21" s="1"/>
  <c r="M29" i="21"/>
  <c r="N29" i="21" s="1"/>
  <c r="M16" i="21"/>
  <c r="N16" i="21" s="1"/>
  <c r="M18" i="21"/>
  <c r="N18" i="21" s="1"/>
  <c r="M19" i="21"/>
  <c r="N19" i="21" s="1"/>
  <c r="M21" i="21"/>
  <c r="N21" i="21" s="1"/>
  <c r="M22" i="21"/>
  <c r="N22" i="21" s="1"/>
  <c r="M23" i="21"/>
  <c r="N23" i="21" s="1"/>
  <c r="M15" i="21"/>
  <c r="N15" i="21" s="1"/>
  <c r="M6" i="21"/>
  <c r="M7" i="21"/>
  <c r="N7" i="21" s="1"/>
  <c r="K30" i="21"/>
  <c r="K6" i="21"/>
  <c r="J30" i="21"/>
  <c r="J29" i="21"/>
  <c r="K29" i="21" s="1"/>
  <c r="J16" i="21"/>
  <c r="K16" i="21" s="1"/>
  <c r="J18" i="21"/>
  <c r="K18" i="21" s="1"/>
  <c r="J19" i="21"/>
  <c r="J21" i="21"/>
  <c r="K21" i="21" s="1"/>
  <c r="J22" i="21"/>
  <c r="K22" i="21" s="1"/>
  <c r="J23" i="21"/>
  <c r="K23" i="21" s="1"/>
  <c r="J15" i="21"/>
  <c r="K15" i="21" s="1"/>
  <c r="J6" i="21"/>
  <c r="J7" i="21"/>
  <c r="K7" i="21" s="1"/>
  <c r="H29" i="21"/>
  <c r="H18" i="21"/>
  <c r="H6" i="21"/>
  <c r="G30" i="21"/>
  <c r="H30" i="21" s="1"/>
  <c r="G29" i="21"/>
  <c r="G16" i="21"/>
  <c r="H16" i="21" s="1"/>
  <c r="G18" i="21"/>
  <c r="G19" i="21"/>
  <c r="H19" i="21" s="1"/>
  <c r="G21" i="21"/>
  <c r="H21" i="21" s="1"/>
  <c r="G22" i="21"/>
  <c r="H22" i="21" s="1"/>
  <c r="G23" i="21"/>
  <c r="H23" i="21" s="1"/>
  <c r="G15" i="21"/>
  <c r="G6" i="21"/>
  <c r="G7" i="21"/>
  <c r="H7" i="21" s="1"/>
  <c r="E6" i="21"/>
  <c r="D18" i="21"/>
  <c r="D19" i="21"/>
  <c r="E19" i="21" s="1"/>
  <c r="D21" i="21"/>
  <c r="E21" i="21" s="1"/>
  <c r="D22" i="21"/>
  <c r="E22" i="21" s="1"/>
  <c r="D6" i="21"/>
  <c r="D7" i="21"/>
  <c r="E7" i="21" s="1"/>
  <c r="G32" i="37"/>
  <c r="E32" i="37"/>
  <c r="H31" i="37"/>
  <c r="H30" i="37"/>
  <c r="G25" i="37"/>
  <c r="E25" i="37"/>
  <c r="H24" i="37"/>
  <c r="H23" i="37"/>
  <c r="H22" i="37"/>
  <c r="H21" i="37"/>
  <c r="H17" i="37"/>
  <c r="H16" i="37"/>
  <c r="H9" i="37"/>
  <c r="H7" i="37"/>
  <c r="G6" i="37"/>
  <c r="H6" i="37" s="1"/>
  <c r="E6" i="37"/>
  <c r="G6" i="36"/>
  <c r="E6" i="36"/>
  <c r="G32" i="36"/>
  <c r="E32" i="36"/>
  <c r="H31" i="36"/>
  <c r="H30" i="36"/>
  <c r="G25" i="36"/>
  <c r="H24" i="36"/>
  <c r="H23" i="36"/>
  <c r="H22" i="36"/>
  <c r="H21" i="36"/>
  <c r="H17" i="36"/>
  <c r="H16" i="36"/>
  <c r="E25" i="36"/>
  <c r="H9" i="36"/>
  <c r="H7" i="36"/>
  <c r="H6" i="36"/>
  <c r="D21" i="35"/>
  <c r="D18" i="35"/>
  <c r="E16" i="35"/>
  <c r="G32" i="35"/>
  <c r="E32" i="35"/>
  <c r="H31" i="35"/>
  <c r="H30" i="35"/>
  <c r="G25" i="35"/>
  <c r="H24" i="35"/>
  <c r="H23" i="35"/>
  <c r="H22" i="35"/>
  <c r="H21" i="35"/>
  <c r="H17" i="35"/>
  <c r="H16" i="35"/>
  <c r="E25" i="35"/>
  <c r="H9" i="35"/>
  <c r="H7" i="35"/>
  <c r="H6" i="35"/>
  <c r="G6" i="35"/>
  <c r="E6" i="35"/>
  <c r="E16" i="34"/>
  <c r="G6" i="34"/>
  <c r="E6" i="34"/>
  <c r="G32" i="34"/>
  <c r="E32" i="34"/>
  <c r="H31" i="34"/>
  <c r="H30" i="34"/>
  <c r="G25" i="34"/>
  <c r="E25" i="34"/>
  <c r="H24" i="34"/>
  <c r="H23" i="34"/>
  <c r="H22" i="34"/>
  <c r="H21" i="34"/>
  <c r="H17" i="34"/>
  <c r="H16" i="34"/>
  <c r="H9" i="34"/>
  <c r="H7" i="34"/>
  <c r="H15" i="21" l="1"/>
  <c r="H6" i="34"/>
  <c r="B7" i="5" l="1"/>
  <c r="D21" i="33"/>
  <c r="D18" i="33"/>
  <c r="G6" i="33"/>
  <c r="H6" i="33" s="1"/>
  <c r="E6" i="33"/>
  <c r="G32" i="33"/>
  <c r="E32" i="33"/>
  <c r="H31" i="33"/>
  <c r="H30" i="33"/>
  <c r="G25" i="33"/>
  <c r="E25" i="33"/>
  <c r="H24" i="33"/>
  <c r="H23" i="33"/>
  <c r="H22" i="33"/>
  <c r="H21" i="33"/>
  <c r="H17" i="33"/>
  <c r="H16" i="33"/>
  <c r="H9" i="33"/>
  <c r="H7" i="33"/>
  <c r="D21" i="32"/>
  <c r="D18" i="32"/>
  <c r="G6" i="32"/>
  <c r="H6" i="32" s="1"/>
  <c r="E6" i="32"/>
  <c r="G6" i="31"/>
  <c r="E6" i="31"/>
  <c r="G32" i="32"/>
  <c r="E32" i="32"/>
  <c r="H31" i="32"/>
  <c r="H30" i="32"/>
  <c r="G25" i="32"/>
  <c r="E25" i="32"/>
  <c r="H24" i="32"/>
  <c r="H23" i="32"/>
  <c r="H22" i="32"/>
  <c r="H21" i="32"/>
  <c r="H17" i="32"/>
  <c r="H16" i="32"/>
  <c r="H9" i="32"/>
  <c r="H7" i="32"/>
  <c r="D21" i="31"/>
  <c r="D18" i="31"/>
  <c r="G32" i="31"/>
  <c r="E32" i="31"/>
  <c r="H31" i="31"/>
  <c r="H30" i="31"/>
  <c r="G25" i="31"/>
  <c r="E25" i="31"/>
  <c r="H24" i="31"/>
  <c r="H23" i="31"/>
  <c r="H22" i="31"/>
  <c r="H21" i="31"/>
  <c r="H17" i="31"/>
  <c r="H16" i="31"/>
  <c r="H9" i="31"/>
  <c r="H7" i="31"/>
  <c r="H6" i="31"/>
  <c r="H9" i="12" l="1"/>
  <c r="D21" i="12" l="1"/>
  <c r="D18" i="12"/>
  <c r="G32" i="12" l="1"/>
  <c r="G25" i="12"/>
  <c r="E25" i="12"/>
  <c r="H31" i="12"/>
  <c r="H30" i="12"/>
  <c r="H17" i="12"/>
  <c r="H21" i="12"/>
  <c r="H22" i="12"/>
  <c r="H23" i="12"/>
  <c r="H24" i="12"/>
  <c r="H16" i="12"/>
  <c r="H7" i="12"/>
  <c r="BS2" i="21" l="1"/>
  <c r="BV2" i="21" s="1"/>
  <c r="AU2" i="21"/>
  <c r="AX2" i="21" s="1"/>
  <c r="B28" i="2"/>
  <c r="B15" i="2"/>
  <c r="AW17" i="21" l="1"/>
  <c r="BV24" i="21"/>
  <c r="AX17" i="21"/>
  <c r="AW20" i="21"/>
  <c r="AX20" i="21"/>
  <c r="E5" i="37"/>
  <c r="E8" i="37" s="1"/>
  <c r="G5" i="37"/>
  <c r="G8" i="37" s="1"/>
  <c r="AW24" i="21" l="1"/>
  <c r="BU24" i="21"/>
  <c r="Y24" i="21"/>
  <c r="Z24" i="21"/>
  <c r="AX24" i="21"/>
  <c r="AX5" i="21"/>
  <c r="AW5" i="21"/>
  <c r="E9" i="37"/>
  <c r="E12" i="37"/>
  <c r="E27" i="37" s="1"/>
  <c r="E34" i="37" s="1"/>
  <c r="G10" i="37"/>
  <c r="G12" i="37" s="1"/>
  <c r="G27" i="37" s="1"/>
  <c r="G34" i="37" s="1"/>
  <c r="H5" i="37"/>
  <c r="AX8" i="21" l="1"/>
  <c r="BU8" i="21"/>
  <c r="BU10" i="21"/>
  <c r="BU25" i="21" s="1"/>
  <c r="Y8" i="21"/>
  <c r="Y10" i="21" s="1"/>
  <c r="Y25" i="21" s="1"/>
  <c r="BU9" i="21"/>
  <c r="BV9" i="21" s="1"/>
  <c r="AW9" i="21"/>
  <c r="AX9" i="21" s="1"/>
  <c r="AX10" i="21" s="1"/>
  <c r="AX25" i="21" s="1"/>
  <c r="Y9" i="21"/>
  <c r="Z9" i="21" s="1"/>
  <c r="AW8" i="21"/>
  <c r="Z8" i="21"/>
  <c r="BV8" i="21"/>
  <c r="Z10" i="21" l="1"/>
  <c r="Z25" i="21" s="1"/>
  <c r="O10" i="19" s="1"/>
  <c r="BV10" i="21"/>
  <c r="BV25" i="21" s="1"/>
  <c r="U10" i="19" s="1"/>
  <c r="AX32" i="21"/>
  <c r="R22" i="19" s="1"/>
  <c r="R10" i="19"/>
  <c r="AW10" i="21"/>
  <c r="AW25" i="21" s="1"/>
  <c r="Y32" i="21"/>
  <c r="C22" i="19" s="1"/>
  <c r="C10" i="19"/>
  <c r="BU32" i="21"/>
  <c r="I22" i="19" s="1"/>
  <c r="I10" i="19"/>
  <c r="B27" i="2"/>
  <c r="B14" i="2"/>
  <c r="BV32" i="21" l="1"/>
  <c r="U22" i="19" s="1"/>
  <c r="Z32" i="21"/>
  <c r="O22" i="19" s="1"/>
  <c r="AT20" i="21"/>
  <c r="W24" i="21"/>
  <c r="AU20" i="21"/>
  <c r="AT17" i="21"/>
  <c r="AT24" i="21" s="1"/>
  <c r="AU17" i="21"/>
  <c r="AW32" i="21"/>
  <c r="F22" i="19" s="1"/>
  <c r="F10" i="19"/>
  <c r="E5" i="36"/>
  <c r="E8" i="36" s="1"/>
  <c r="G5" i="36"/>
  <c r="G8" i="36" s="1"/>
  <c r="AU24" i="21" l="1"/>
  <c r="BR24" i="21"/>
  <c r="BS24" i="21"/>
  <c r="BS8" i="21"/>
  <c r="AU5" i="21"/>
  <c r="AU8" i="21" s="1"/>
  <c r="W8" i="21"/>
  <c r="AT5" i="21"/>
  <c r="G10" i="36"/>
  <c r="G12" i="36" s="1"/>
  <c r="G27" i="36" s="1"/>
  <c r="G34" i="36" s="1"/>
  <c r="H5" i="36"/>
  <c r="V24" i="21"/>
  <c r="E12" i="36"/>
  <c r="E27" i="36" s="1"/>
  <c r="E34" i="36" s="1"/>
  <c r="V8" i="21"/>
  <c r="BR8" i="21" l="1"/>
  <c r="AT8" i="21"/>
  <c r="E9" i="36"/>
  <c r="B26" i="2"/>
  <c r="B25" i="2"/>
  <c r="B24" i="2"/>
  <c r="B23" i="2"/>
  <c r="B22" i="2"/>
  <c r="B21" i="2"/>
  <c r="B12" i="2"/>
  <c r="B11" i="2"/>
  <c r="B10" i="2"/>
  <c r="B9" i="2"/>
  <c r="B8" i="2"/>
  <c r="E5" i="12"/>
  <c r="D30" i="21"/>
  <c r="D29" i="21"/>
  <c r="AB5" i="21" l="1"/>
  <c r="E8" i="12"/>
  <c r="E9" i="12" s="1"/>
  <c r="E12" i="12"/>
  <c r="AH20" i="21"/>
  <c r="AH17" i="21"/>
  <c r="AH24" i="21" s="1"/>
  <c r="AI17" i="21"/>
  <c r="K20" i="21"/>
  <c r="AI20" i="21"/>
  <c r="G5" i="32"/>
  <c r="E5" i="32"/>
  <c r="AL20" i="21"/>
  <c r="AL17" i="21"/>
  <c r="AK17" i="21"/>
  <c r="AK20" i="21"/>
  <c r="G5" i="33"/>
  <c r="E5" i="33"/>
  <c r="AC17" i="21"/>
  <c r="AB20" i="21"/>
  <c r="AC20" i="21"/>
  <c r="AB17" i="21"/>
  <c r="AQ20" i="21"/>
  <c r="AQ17" i="21"/>
  <c r="AR17" i="21"/>
  <c r="E5" i="35"/>
  <c r="AR20" i="21"/>
  <c r="G5" i="35"/>
  <c r="E5" i="31"/>
  <c r="AE17" i="21"/>
  <c r="AF20" i="21"/>
  <c r="BC24" i="21"/>
  <c r="AF17" i="21"/>
  <c r="AE20" i="21"/>
  <c r="G5" i="31"/>
  <c r="V9" i="21"/>
  <c r="BR9" i="21"/>
  <c r="AT9" i="21"/>
  <c r="BO24" i="21" l="1"/>
  <c r="J24" i="21"/>
  <c r="AE5" i="21"/>
  <c r="AL5" i="21"/>
  <c r="AL8" i="21" s="1"/>
  <c r="H5" i="33"/>
  <c r="BJ8" i="21"/>
  <c r="N8" i="21"/>
  <c r="G8" i="33"/>
  <c r="G10" i="33" s="1"/>
  <c r="G12" i="33" s="1"/>
  <c r="G27" i="33" s="1"/>
  <c r="G34" i="33" s="1"/>
  <c r="E12" i="32"/>
  <c r="E27" i="32" s="1"/>
  <c r="E34" i="32" s="1"/>
  <c r="J8" i="21"/>
  <c r="AH5" i="21"/>
  <c r="AH8" i="21" s="1"/>
  <c r="E8" i="32"/>
  <c r="E9" i="32" s="1"/>
  <c r="H5" i="31"/>
  <c r="E12" i="35"/>
  <c r="E27" i="35" s="1"/>
  <c r="E34" i="35" s="1"/>
  <c r="AQ5" i="21"/>
  <c r="BO8" i="21"/>
  <c r="S8" i="21"/>
  <c r="E8" i="35"/>
  <c r="E9" i="35" s="1"/>
  <c r="AQ24" i="21"/>
  <c r="AK24" i="21"/>
  <c r="BG8" i="21"/>
  <c r="K8" i="21"/>
  <c r="AI5" i="21"/>
  <c r="AI8" i="21" s="1"/>
  <c r="H5" i="32"/>
  <c r="G8" i="32"/>
  <c r="G10" i="32" s="1"/>
  <c r="G12" i="32" s="1"/>
  <c r="G27" i="32" s="1"/>
  <c r="G34" i="32" s="1"/>
  <c r="BF24" i="21"/>
  <c r="S24" i="21"/>
  <c r="AB9" i="21"/>
  <c r="AC9" i="21" s="1"/>
  <c r="D9" i="21"/>
  <c r="E9" i="21" s="1"/>
  <c r="AZ9" i="21"/>
  <c r="BA9" i="21" s="1"/>
  <c r="AR5" i="21"/>
  <c r="AR8" i="21" s="1"/>
  <c r="G8" i="35"/>
  <c r="G10" i="35" s="1"/>
  <c r="G12" i="35" s="1"/>
  <c r="G27" i="35" s="1"/>
  <c r="G34" i="35" s="1"/>
  <c r="T8" i="21"/>
  <c r="BP8" i="21"/>
  <c r="H5" i="35"/>
  <c r="M24" i="21"/>
  <c r="E8" i="31"/>
  <c r="BD8" i="21"/>
  <c r="AF5" i="21"/>
  <c r="AF8" i="21" s="1"/>
  <c r="H8" i="21"/>
  <c r="G8" i="31"/>
  <c r="G10" i="31" s="1"/>
  <c r="G12" i="31" s="1"/>
  <c r="G27" i="31" s="1"/>
  <c r="G34" i="31" s="1"/>
  <c r="G24" i="21"/>
  <c r="AE24" i="21"/>
  <c r="E8" i="33"/>
  <c r="E9" i="33" s="1"/>
  <c r="AK5" i="21"/>
  <c r="AK8" i="21" s="1"/>
  <c r="BI8" i="21"/>
  <c r="E12" i="33"/>
  <c r="E27" i="33" s="1"/>
  <c r="E34" i="33" s="1"/>
  <c r="BI24" i="21"/>
  <c r="BS9" i="21"/>
  <c r="BS10" i="21" s="1"/>
  <c r="BS25" i="21" s="1"/>
  <c r="BR10" i="21"/>
  <c r="BR25" i="21" s="1"/>
  <c r="AU9" i="21"/>
  <c r="AU10" i="21" s="1"/>
  <c r="AU25" i="21" s="1"/>
  <c r="AT10" i="21"/>
  <c r="AT25" i="21" s="1"/>
  <c r="W9" i="21"/>
  <c r="W10" i="21" s="1"/>
  <c r="W25" i="21" s="1"/>
  <c r="V10" i="21"/>
  <c r="V25" i="21" s="1"/>
  <c r="BM3" i="21"/>
  <c r="AQ8" i="21" l="1"/>
  <c r="AQ10" i="21" s="1"/>
  <c r="AQ25" i="21" s="1"/>
  <c r="AQ9" i="21"/>
  <c r="AR9" i="21" s="1"/>
  <c r="BO9" i="21"/>
  <c r="S9" i="21"/>
  <c r="G8" i="21"/>
  <c r="BF8" i="21"/>
  <c r="BC8" i="21"/>
  <c r="M8" i="21"/>
  <c r="M10" i="21" s="1"/>
  <c r="M25" i="21" s="1"/>
  <c r="BI9" i="21"/>
  <c r="M9" i="21"/>
  <c r="N9" i="21" s="1"/>
  <c r="AK9" i="21"/>
  <c r="AH9" i="21"/>
  <c r="AI9" i="21" s="1"/>
  <c r="J9" i="21"/>
  <c r="K9" i="21" s="1"/>
  <c r="BF9" i="21"/>
  <c r="BG9" i="21" s="1"/>
  <c r="AE8" i="21"/>
  <c r="AU32" i="21"/>
  <c r="R21" i="19" s="1"/>
  <c r="R9" i="19"/>
  <c r="AT32" i="21"/>
  <c r="F21" i="19" s="1"/>
  <c r="F9" i="19"/>
  <c r="V32" i="21"/>
  <c r="C21" i="19" s="1"/>
  <c r="C9" i="19"/>
  <c r="BR32" i="21"/>
  <c r="I21" i="19" s="1"/>
  <c r="I9" i="19"/>
  <c r="W32" i="21"/>
  <c r="O21" i="19" s="1"/>
  <c r="O9" i="19"/>
  <c r="BS32" i="21"/>
  <c r="U21" i="19" s="1"/>
  <c r="U9" i="19"/>
  <c r="AO3" i="21"/>
  <c r="BF10" i="21" l="1"/>
  <c r="BF25" i="21" s="1"/>
  <c r="M32" i="21"/>
  <c r="C20" i="19" s="1"/>
  <c r="C8" i="19"/>
  <c r="BF32" i="21"/>
  <c r="I19" i="19" s="1"/>
  <c r="I7" i="19"/>
  <c r="F6" i="19"/>
  <c r="AQ32" i="21"/>
  <c r="F18" i="19" s="1"/>
  <c r="BP9" i="21"/>
  <c r="BO10" i="21"/>
  <c r="BO25" i="21" s="1"/>
  <c r="AH10" i="21"/>
  <c r="AH25" i="21" s="1"/>
  <c r="AL9" i="21"/>
  <c r="AK10" i="21"/>
  <c r="AK25" i="21" s="1"/>
  <c r="J10" i="21"/>
  <c r="J25" i="21" s="1"/>
  <c r="BJ9" i="21"/>
  <c r="BI10" i="21"/>
  <c r="BI25" i="21" s="1"/>
  <c r="T9" i="21"/>
  <c r="S10" i="21"/>
  <c r="S25" i="21" s="1"/>
  <c r="AB16" i="21"/>
  <c r="D4" i="26"/>
  <c r="AK32" i="21" l="1"/>
  <c r="F20" i="19" s="1"/>
  <c r="F8" i="19"/>
  <c r="AH32" i="21"/>
  <c r="F19" i="19" s="1"/>
  <c r="F7" i="19"/>
  <c r="BI32" i="21"/>
  <c r="I20" i="19" s="1"/>
  <c r="I8" i="19"/>
  <c r="S32" i="21"/>
  <c r="C18" i="19" s="1"/>
  <c r="C6" i="19"/>
  <c r="J32" i="21"/>
  <c r="C19" i="19" s="1"/>
  <c r="C7" i="19"/>
  <c r="BO32" i="21"/>
  <c r="I18" i="19" s="1"/>
  <c r="I6" i="19"/>
  <c r="E5" i="26"/>
  <c r="E8" i="26" s="1"/>
  <c r="B13" i="2"/>
  <c r="D15" i="21" l="1"/>
  <c r="AZ15" i="21"/>
  <c r="BA15" i="21" s="1"/>
  <c r="AB15" i="21"/>
  <c r="AN17" i="21"/>
  <c r="G5" i="34"/>
  <c r="AO17" i="21"/>
  <c r="AN20" i="21"/>
  <c r="E5" i="34"/>
  <c r="AO20" i="21"/>
  <c r="D24" i="21"/>
  <c r="Q3" i="21"/>
  <c r="P24" i="21" l="1"/>
  <c r="AZ8" i="21"/>
  <c r="AZ24" i="21"/>
  <c r="AB8" i="21"/>
  <c r="AC15" i="21"/>
  <c r="AB24" i="21"/>
  <c r="D8" i="21"/>
  <c r="E15" i="21"/>
  <c r="AN24" i="21"/>
  <c r="BL24" i="21"/>
  <c r="AN5" i="21"/>
  <c r="AN8" i="21" s="1"/>
  <c r="BL8" i="21"/>
  <c r="E8" i="34"/>
  <c r="E9" i="34" s="1"/>
  <c r="E12" i="34"/>
  <c r="E27" i="34" s="1"/>
  <c r="E34" i="34" s="1"/>
  <c r="G8" i="34"/>
  <c r="G10" i="34" s="1"/>
  <c r="G12" i="34" s="1"/>
  <c r="G27" i="34" s="1"/>
  <c r="G34" i="34" s="1"/>
  <c r="BM8" i="21"/>
  <c r="AO5" i="21"/>
  <c r="AO8" i="21" s="1"/>
  <c r="Q8" i="21"/>
  <c r="H5" i="34"/>
  <c r="P8" i="21" l="1"/>
  <c r="P10" i="21" s="1"/>
  <c r="P25" i="21" s="1"/>
  <c r="AN9" i="21"/>
  <c r="BL9" i="21"/>
  <c r="P9" i="21"/>
  <c r="Q9" i="21" s="1"/>
  <c r="D2" i="21"/>
  <c r="G6" i="12"/>
  <c r="E6" i="12"/>
  <c r="P32" i="21" l="1"/>
  <c r="C17" i="19" s="1"/>
  <c r="C5" i="19"/>
  <c r="BM9" i="21"/>
  <c r="BL10" i="21"/>
  <c r="BL25" i="21" s="1"/>
  <c r="AO9" i="21"/>
  <c r="AN10" i="21"/>
  <c r="AN25" i="21" s="1"/>
  <c r="H6" i="12"/>
  <c r="AZ10" i="21"/>
  <c r="AZ25" i="21" s="1"/>
  <c r="AB10" i="21"/>
  <c r="AB25" i="21" s="1"/>
  <c r="AB2" i="21"/>
  <c r="E18" i="21"/>
  <c r="G2" i="21"/>
  <c r="E30" i="21"/>
  <c r="J8" i="19" l="1"/>
  <c r="J7" i="19"/>
  <c r="J10" i="19"/>
  <c r="J6" i="19"/>
  <c r="J9" i="19"/>
  <c r="J5" i="19"/>
  <c r="G8" i="19"/>
  <c r="G7" i="19"/>
  <c r="G10" i="19"/>
  <c r="G6" i="19"/>
  <c r="G9" i="19"/>
  <c r="G5" i="19"/>
  <c r="I5" i="19"/>
  <c r="BL32" i="21"/>
  <c r="I17" i="19" s="1"/>
  <c r="AN32" i="21"/>
  <c r="F17" i="19" s="1"/>
  <c r="F5" i="19"/>
  <c r="AB32" i="21"/>
  <c r="AZ32" i="21"/>
  <c r="E24" i="21"/>
  <c r="AZ2" i="21"/>
  <c r="AE2" i="21"/>
  <c r="AC18" i="21"/>
  <c r="E29" i="21"/>
  <c r="J2" i="21"/>
  <c r="J22" i="19" l="1"/>
  <c r="J18" i="19"/>
  <c r="J21" i="19"/>
  <c r="J17" i="19"/>
  <c r="J20" i="19"/>
  <c r="J19" i="19"/>
  <c r="G22" i="19"/>
  <c r="G18" i="19"/>
  <c r="G21" i="19"/>
  <c r="G17" i="19"/>
  <c r="G20" i="19"/>
  <c r="G19" i="19"/>
  <c r="AC24" i="21"/>
  <c r="BC2" i="21"/>
  <c r="AH2" i="21"/>
  <c r="M2" i="21"/>
  <c r="H24" i="21"/>
  <c r="AF24" i="21" l="1"/>
  <c r="BA24" i="21"/>
  <c r="BF2" i="21"/>
  <c r="BD24" i="21"/>
  <c r="AK2" i="21"/>
  <c r="P2" i="21"/>
  <c r="K24" i="21"/>
  <c r="S2" i="21" l="1"/>
  <c r="Q24" i="21"/>
  <c r="AN2" i="21"/>
  <c r="AL24" i="21"/>
  <c r="BI2" i="21"/>
  <c r="AI24" i="21"/>
  <c r="N24" i="21"/>
  <c r="BG24" i="21" l="1"/>
  <c r="AQ2" i="21"/>
  <c r="AT2" i="21" s="1"/>
  <c r="AW2" i="21" s="1"/>
  <c r="BL2" i="21"/>
  <c r="BJ24" i="21"/>
  <c r="T24" i="21"/>
  <c r="AO24" i="21" l="1"/>
  <c r="BO2" i="21"/>
  <c r="BR2" i="21" s="1"/>
  <c r="BU2" i="21" s="1"/>
  <c r="AR24" i="21"/>
  <c r="B12" i="5"/>
  <c r="B12" i="4"/>
  <c r="E32" i="12"/>
  <c r="BM24" i="21" l="1"/>
  <c r="D10" i="21"/>
  <c r="D25" i="21" s="1"/>
  <c r="D8" i="19" l="1"/>
  <c r="D7" i="19"/>
  <c r="D10" i="19"/>
  <c r="D6" i="19"/>
  <c r="D9" i="19"/>
  <c r="D5" i="19"/>
  <c r="D32" i="21"/>
  <c r="E27" i="12"/>
  <c r="E34" i="12" s="1"/>
  <c r="BP24" i="21"/>
  <c r="G5" i="12"/>
  <c r="E8" i="21" l="1"/>
  <c r="AC5" i="21"/>
  <c r="AC8" i="21" s="1"/>
  <c r="G8" i="12"/>
  <c r="G10" i="12" s="1"/>
  <c r="G12" i="12" s="1"/>
  <c r="G27" i="12" s="1"/>
  <c r="G34" i="12" s="1"/>
  <c r="D20" i="19"/>
  <c r="D19" i="19"/>
  <c r="D22" i="19"/>
  <c r="D18" i="19"/>
  <c r="D21" i="19"/>
  <c r="D17" i="19"/>
  <c r="H5" i="12"/>
  <c r="BP10" i="21"/>
  <c r="BP25" i="21" s="1"/>
  <c r="BJ10" i="21"/>
  <c r="BJ25" i="21" s="1"/>
  <c r="BG10" i="21"/>
  <c r="BG25" i="21" s="1"/>
  <c r="BM10" i="21"/>
  <c r="BM25" i="21" s="1"/>
  <c r="Q10" i="21"/>
  <c r="Q25" i="21" s="1"/>
  <c r="AO10" i="21"/>
  <c r="AO25" i="21" s="1"/>
  <c r="AR10" i="21"/>
  <c r="AR25" i="21" s="1"/>
  <c r="AL10" i="21"/>
  <c r="AL25" i="21" s="1"/>
  <c r="K10" i="21"/>
  <c r="K25" i="21" s="1"/>
  <c r="AI10" i="21"/>
  <c r="AI25" i="21" s="1"/>
  <c r="T10" i="21"/>
  <c r="T25" i="21" s="1"/>
  <c r="N10" i="21"/>
  <c r="N25" i="21" s="1"/>
  <c r="AC10" i="21" l="1"/>
  <c r="AC25" i="21" s="1"/>
  <c r="E10" i="21"/>
  <c r="E25" i="21" s="1"/>
  <c r="P10" i="19" s="1"/>
  <c r="T32" i="21"/>
  <c r="O18" i="19" s="1"/>
  <c r="O6" i="19"/>
  <c r="AI32" i="21"/>
  <c r="R19" i="19" s="1"/>
  <c r="R7" i="19"/>
  <c r="K32" i="21"/>
  <c r="O19" i="19" s="1"/>
  <c r="O7" i="19"/>
  <c r="BG32" i="21"/>
  <c r="U19" i="19" s="1"/>
  <c r="U7" i="19"/>
  <c r="S8" i="19"/>
  <c r="S7" i="19"/>
  <c r="S10" i="19"/>
  <c r="S6" i="19"/>
  <c r="S9" i="19"/>
  <c r="S5" i="19"/>
  <c r="Q32" i="21"/>
  <c r="O17" i="19" s="1"/>
  <c r="O5" i="19"/>
  <c r="BJ32" i="21"/>
  <c r="U20" i="19" s="1"/>
  <c r="U8" i="19"/>
  <c r="AL32" i="21"/>
  <c r="R20" i="19" s="1"/>
  <c r="R8" i="19"/>
  <c r="N32" i="21"/>
  <c r="O20" i="19" s="1"/>
  <c r="O8" i="19"/>
  <c r="BM32" i="21"/>
  <c r="U17" i="19" s="1"/>
  <c r="U5" i="19"/>
  <c r="AO32" i="21"/>
  <c r="R17" i="19" s="1"/>
  <c r="R5" i="19"/>
  <c r="BP32" i="21"/>
  <c r="U18" i="19" s="1"/>
  <c r="U6" i="19"/>
  <c r="AR32" i="21"/>
  <c r="R18" i="19" s="1"/>
  <c r="R6" i="19"/>
  <c r="AC32" i="21"/>
  <c r="BA8" i="21"/>
  <c r="BA10" i="21" s="1"/>
  <c r="BA25" i="21" s="1"/>
  <c r="P5" i="19" l="1"/>
  <c r="P9" i="19"/>
  <c r="P7" i="19"/>
  <c r="P6" i="19"/>
  <c r="E32" i="21"/>
  <c r="P22" i="19" s="1"/>
  <c r="P8" i="19"/>
  <c r="S22" i="19"/>
  <c r="S18" i="19"/>
  <c r="S21" i="19"/>
  <c r="S17" i="19"/>
  <c r="S20" i="19"/>
  <c r="S19" i="19"/>
  <c r="V8" i="19"/>
  <c r="V7" i="19"/>
  <c r="V10" i="19"/>
  <c r="V6" i="19"/>
  <c r="V9" i="19"/>
  <c r="V5" i="19"/>
  <c r="BA32" i="21"/>
  <c r="P17" i="19" l="1"/>
  <c r="P21" i="19"/>
  <c r="P19" i="19"/>
  <c r="P18" i="19"/>
  <c r="P20" i="19"/>
  <c r="V22" i="19"/>
  <c r="V18" i="19"/>
  <c r="V21" i="19"/>
  <c r="V17" i="19"/>
  <c r="V20" i="19"/>
  <c r="V19" i="19"/>
  <c r="E9" i="31" l="1"/>
  <c r="E12" i="31"/>
  <c r="E27" i="31" s="1"/>
  <c r="E34" i="31" s="1"/>
  <c r="BC9" i="21" l="1"/>
  <c r="AE9" i="21"/>
  <c r="G9" i="21"/>
  <c r="H9" i="21" l="1"/>
  <c r="H10" i="21" s="1"/>
  <c r="H25" i="21" s="1"/>
  <c r="G10" i="21"/>
  <c r="G25" i="21" s="1"/>
  <c r="AF9" i="21"/>
  <c r="AF10" i="21" s="1"/>
  <c r="AF25" i="21" s="1"/>
  <c r="AE10" i="21"/>
  <c r="AE25" i="21" s="1"/>
  <c r="BD9" i="21"/>
  <c r="BD10" i="21" s="1"/>
  <c r="BD25" i="21" s="1"/>
  <c r="BC10" i="21"/>
  <c r="BC25" i="21" s="1"/>
  <c r="Q7" i="19" l="1"/>
  <c r="P5" i="38" s="1"/>
  <c r="Q5" i="19"/>
  <c r="P3" i="38" s="1"/>
  <c r="AF32" i="21"/>
  <c r="Q8" i="19"/>
  <c r="P6" i="38" s="1"/>
  <c r="Q10" i="19"/>
  <c r="P8" i="38" s="1"/>
  <c r="Q6" i="19"/>
  <c r="P4" i="38" s="1"/>
  <c r="Q9" i="19"/>
  <c r="P7" i="38" s="1"/>
  <c r="G32" i="21"/>
  <c r="B8" i="19"/>
  <c r="B7" i="19"/>
  <c r="B10" i="19"/>
  <c r="B6" i="19"/>
  <c r="B9" i="19"/>
  <c r="B5" i="19"/>
  <c r="AE32" i="21"/>
  <c r="E5" i="19"/>
  <c r="C3" i="38" s="1"/>
  <c r="E9" i="19"/>
  <c r="C7" i="38" s="1"/>
  <c r="E10" i="19"/>
  <c r="C8" i="38" s="1"/>
  <c r="E8" i="19"/>
  <c r="C6" i="38" s="1"/>
  <c r="E7" i="19"/>
  <c r="C5" i="38" s="1"/>
  <c r="E6" i="19"/>
  <c r="C4" i="38" s="1"/>
  <c r="H10" i="19"/>
  <c r="D8" i="38" s="1"/>
  <c r="H7" i="19"/>
  <c r="D5" i="38" s="1"/>
  <c r="H9" i="19"/>
  <c r="D7" i="38" s="1"/>
  <c r="H6" i="19"/>
  <c r="D4" i="38" s="1"/>
  <c r="H5" i="19"/>
  <c r="D3" i="38" s="1"/>
  <c r="H8" i="19"/>
  <c r="D6" i="38" s="1"/>
  <c r="BC32" i="21"/>
  <c r="T9" i="19"/>
  <c r="Q7" i="38" s="1"/>
  <c r="T8" i="19"/>
  <c r="Q6" i="38" s="1"/>
  <c r="T6" i="19"/>
  <c r="Q4" i="38" s="1"/>
  <c r="BD32" i="21"/>
  <c r="T5" i="19"/>
  <c r="Q3" i="38" s="1"/>
  <c r="T10" i="19"/>
  <c r="Q8" i="38" s="1"/>
  <c r="T7" i="19"/>
  <c r="Q5" i="38" s="1"/>
  <c r="H32" i="21"/>
  <c r="N10" i="19"/>
  <c r="N6" i="19"/>
  <c r="N9" i="19"/>
  <c r="N5" i="19"/>
  <c r="N8" i="19"/>
  <c r="N7" i="19"/>
  <c r="O3" i="38" l="1"/>
  <c r="R3" i="38" s="1"/>
  <c r="W5" i="19"/>
  <c r="H17" i="19"/>
  <c r="D24" i="38" s="1"/>
  <c r="H19" i="19"/>
  <c r="D26" i="38" s="1"/>
  <c r="H18" i="19"/>
  <c r="D25" i="38" s="1"/>
  <c r="H20" i="19"/>
  <c r="D27" i="38" s="1"/>
  <c r="H22" i="19"/>
  <c r="D29" i="38" s="1"/>
  <c r="H21" i="19"/>
  <c r="D28" i="38" s="1"/>
  <c r="B4" i="38"/>
  <c r="E4" i="38" s="1"/>
  <c r="K6" i="19"/>
  <c r="E17" i="19"/>
  <c r="C24" i="38" s="1"/>
  <c r="E18" i="19"/>
  <c r="C25" i="38" s="1"/>
  <c r="E22" i="19"/>
  <c r="C29" i="38" s="1"/>
  <c r="E20" i="19"/>
  <c r="C27" i="38" s="1"/>
  <c r="E19" i="19"/>
  <c r="C26" i="38" s="1"/>
  <c r="E21" i="19"/>
  <c r="C28" i="38" s="1"/>
  <c r="B8" i="38"/>
  <c r="E8" i="38" s="1"/>
  <c r="K10" i="19"/>
  <c r="Q20" i="19"/>
  <c r="P27" i="38" s="1"/>
  <c r="Q18" i="19"/>
  <c r="P25" i="38" s="1"/>
  <c r="Q17" i="19"/>
  <c r="P24" i="38" s="1"/>
  <c r="Q22" i="19"/>
  <c r="P29" i="38" s="1"/>
  <c r="Q19" i="19"/>
  <c r="P26" i="38" s="1"/>
  <c r="Q21" i="19"/>
  <c r="P28" i="38" s="1"/>
  <c r="T21" i="19"/>
  <c r="Q28" i="38" s="1"/>
  <c r="T18" i="19"/>
  <c r="Q25" i="38" s="1"/>
  <c r="T22" i="19"/>
  <c r="Q29" i="38" s="1"/>
  <c r="T17" i="19"/>
  <c r="Q24" i="38" s="1"/>
  <c r="T19" i="19"/>
  <c r="Q26" i="38" s="1"/>
  <c r="T20" i="19"/>
  <c r="Q27" i="38" s="1"/>
  <c r="O5" i="38"/>
  <c r="R5" i="38" s="1"/>
  <c r="W7" i="19"/>
  <c r="O4" i="38"/>
  <c r="R4" i="38" s="1"/>
  <c r="W6" i="19"/>
  <c r="B3" i="38"/>
  <c r="E3" i="38" s="1"/>
  <c r="K5" i="19"/>
  <c r="B5" i="38"/>
  <c r="E5" i="38" s="1"/>
  <c r="K7" i="19"/>
  <c r="N20" i="19"/>
  <c r="N19" i="19"/>
  <c r="N22" i="19"/>
  <c r="N18" i="19"/>
  <c r="N17" i="19"/>
  <c r="N21" i="19"/>
  <c r="B18" i="19"/>
  <c r="B22" i="19"/>
  <c r="B17" i="19"/>
  <c r="B20" i="19"/>
  <c r="B19" i="19"/>
  <c r="B21" i="19"/>
  <c r="O7" i="38"/>
  <c r="R7" i="38" s="1"/>
  <c r="W9" i="19"/>
  <c r="O6" i="38"/>
  <c r="R6" i="38" s="1"/>
  <c r="W8" i="19"/>
  <c r="O8" i="38"/>
  <c r="R8" i="38" s="1"/>
  <c r="W10" i="19"/>
  <c r="B7" i="38"/>
  <c r="E7" i="38" s="1"/>
  <c r="K9" i="19"/>
  <c r="B6" i="38"/>
  <c r="E6" i="38" s="1"/>
  <c r="K8" i="19"/>
  <c r="O28" i="38" l="1"/>
  <c r="R28" i="38" s="1"/>
  <c r="W21" i="19"/>
  <c r="B24" i="38"/>
  <c r="E24" i="38" s="1"/>
  <c r="K17" i="19"/>
  <c r="B27" i="38"/>
  <c r="E27" i="38" s="1"/>
  <c r="K20" i="19"/>
  <c r="O24" i="38"/>
  <c r="R24" i="38" s="1"/>
  <c r="W17" i="19"/>
  <c r="O27" i="38"/>
  <c r="R27" i="38" s="1"/>
  <c r="W20" i="19"/>
  <c r="B28" i="38"/>
  <c r="E28" i="38" s="1"/>
  <c r="K21" i="19"/>
  <c r="K22" i="19"/>
  <c r="B29" i="38"/>
  <c r="E29" i="38" s="1"/>
  <c r="O25" i="38"/>
  <c r="R25" i="38" s="1"/>
  <c r="W18" i="19"/>
  <c r="O26" i="38"/>
  <c r="R26" i="38" s="1"/>
  <c r="W19" i="19"/>
  <c r="K19" i="19"/>
  <c r="B26" i="38"/>
  <c r="E26" i="38" s="1"/>
  <c r="K18" i="19"/>
  <c r="B25" i="38"/>
  <c r="E25" i="38" s="1"/>
  <c r="O29" i="38"/>
  <c r="R29" i="38" s="1"/>
  <c r="W22" i="19"/>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tc={B245052F-9210-45BC-BE03-06B1511F3403}</author>
  </authors>
  <commentList>
    <comment ref="A56" authorId="0" shapeId="0" xr:uid="{B245052F-9210-45BC-BE03-06B1511F3403}">
      <text>
        <r>
          <rPr>
            <sz val="11"/>
            <color theme="1"/>
            <rFont val="Calibri"/>
            <family val="2"/>
            <scheme val="minor"/>
          </rPr>
          <t>[Threaded comment]
Your version of Excel allows you to read this threaded comment; however, any edits to it will get removed if the file is opened in a newer version of Excel. Learn more: https://go.microsoft.com/fwlink/?linkid=870924
Comment:
    Les analyses sont effectuées sur trois cycles de rotation. Un cycle de rotation a une durée de 3 ans. Par exemple une rotation MG-Soya-Orge représente un cycle de 3 ans (an 1 = MG, an 2 = Soya et an 3 = Orge).</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tc={C9133AD1-F5B0-4E15-8FAC-9D0F6630AC31}</author>
  </authors>
  <commentList>
    <comment ref="B7" authorId="0" shapeId="0" xr:uid="{C9133AD1-F5B0-4E15-8FAC-9D0F6630AC31}">
      <text>
        <r>
          <rPr>
            <sz val="11"/>
            <color theme="1"/>
            <rFont val="Calibri"/>
            <family val="2"/>
            <scheme val="minor"/>
          </rPr>
          <t>[Threaded comment]
Your version of Excel allows you to read this threaded comment; however, any edits to it will get removed if the file is opened in a newer version of Excel. Learn more: https://go.microsoft.com/fwlink/?linkid=870924
Comment:
    Le CECPA ne distingue pas le rendement du blé d'automne et du blé de printemps. Des producteurs agricoles et agronomes nous ont informés que le blé d'automne possède un rendement entre 25 % et 50 % plus élevé que le blé de printemps. Nous retenons ici un rendement supérieur correspondant à 35 % de plus que le rendement du blé de printemps. Cette information peut être modifiée pour les exploitations agricoles en indiquant le rendement des productions elles-mêmes dans l'onglet "Saisie" sous la section "Vos rendements".</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tc={55CEE25F-0F2B-49DA-B9A2-B88A782335BC}</author>
    <author>tc={3994BAE7-7CAF-4630-9071-CEFDE89F2647}</author>
  </authors>
  <commentList>
    <comment ref="B3" authorId="0" shapeId="0" xr:uid="{55CEE25F-0F2B-49DA-B9A2-B88A782335BC}">
      <text>
        <r>
          <rPr>
            <sz val="11"/>
            <color theme="1"/>
            <rFont val="Calibri"/>
            <family val="2"/>
            <scheme val="minor"/>
          </rPr>
          <t>[Threaded comment]
Your version of Excel allows you to read this threaded comment; however, any edits to it will get removed if the file is opened in a newer version of Excel. Learn more: https://go.microsoft.com/fwlink/?linkid=870924
Comment:
    Les analyses sont effectuées sur trois cycles de rotation. Un cycle de rotation a une durée de 3 ans. Par exemple une rotation MG-Soya-Orge représente un cycle de 3 ans (an 1 = MG, an 2 = Soya et an 3 = Orge).</t>
        </r>
      </text>
    </comment>
    <comment ref="N3" authorId="1" shapeId="0" xr:uid="{3994BAE7-7CAF-4630-9071-CEFDE89F2647}">
      <text>
        <r>
          <rPr>
            <sz val="11"/>
            <color theme="1"/>
            <rFont val="Calibri"/>
            <family val="2"/>
            <scheme val="minor"/>
          </rPr>
          <t>[Threaded comment]
Your version of Excel allows you to read this threaded comment; however, any edits to it will get removed if the file is opened in a newer version of Excel. Learn more: https://go.microsoft.com/fwlink/?linkid=870924
Comment:
    Les analyses sont effectuées sur trois cycles de rotation. Un cycle de rotation a une durée de 3 ans. Par exemple une rotation MG-Soya-Orge représente un cycle de 3 ans (an 1 = MG, an 2 = Soya et an 3 = Orge).</t>
        </r>
      </text>
    </comment>
  </commentList>
</comments>
</file>

<file path=xl/sharedStrings.xml><?xml version="1.0" encoding="utf-8"?>
<sst xmlns="http://schemas.openxmlformats.org/spreadsheetml/2006/main" count="588" uniqueCount="186">
  <si>
    <t>Maïs-grain</t>
  </si>
  <si>
    <t>Soya</t>
  </si>
  <si>
    <t>Orge</t>
  </si>
  <si>
    <t>Avoine</t>
  </si>
  <si>
    <t>Le modèle utilise les rendements ci-dessous pour la région sélectionnée. Si les rendements présents ne reflètent pas ceux observés sur votre ferme, nous vous invitons à les indiquer dans la colonne inscrite à cet effet. Si votre exploitation ne produit pas cette culture, ne rien inscrire dans la colonne.</t>
  </si>
  <si>
    <t>Rendements associés à la région</t>
  </si>
  <si>
    <t>Vos rendements</t>
  </si>
  <si>
    <t>Centrale</t>
  </si>
  <si>
    <t>Prix associés à la région</t>
  </si>
  <si>
    <t>Vos prix</t>
  </si>
  <si>
    <t>Le modèle utilise les prix ci-dessous. Si les prix présents ne reflètent pas ceux observés sur votre ferme, nous vous invitons à les indiquer dans la colonne inscrite à cet effet. Si votre exploitation ne produit pas cette culture, ne rien inscrire dans la colonne.</t>
  </si>
  <si>
    <t>Compensation d'assurance stabilisation</t>
  </si>
  <si>
    <t>PRODUITS</t>
  </si>
  <si>
    <t>TOTAL PRODUITS</t>
  </si>
  <si>
    <t>Frais de mise en marché</t>
  </si>
  <si>
    <t>Sous-total</t>
  </si>
  <si>
    <t>Autres frais</t>
  </si>
  <si>
    <t>Revenus de sous-produits</t>
  </si>
  <si>
    <t>Autres revenus</t>
  </si>
  <si>
    <t>Amortissements</t>
  </si>
  <si>
    <t>Rénumération du travail de l'exploitant</t>
  </si>
  <si>
    <t>tm/ha</t>
  </si>
  <si>
    <t>$/tm</t>
  </si>
  <si>
    <t>Blé d'automne</t>
  </si>
  <si>
    <t>Blé de printemps</t>
  </si>
  <si>
    <t>Vos coûts</t>
  </si>
  <si>
    <t>Région &amp; Régie</t>
  </si>
  <si>
    <t>Région et Régie</t>
  </si>
  <si>
    <t>RENDEMENT</t>
  </si>
  <si>
    <t>PRIX</t>
  </si>
  <si>
    <t>RÉGION</t>
  </si>
  <si>
    <t>TYPE DE RÉGIE</t>
  </si>
  <si>
    <t>OBJECTIFS</t>
  </si>
  <si>
    <t>DESCRIPTION DES ONGLETS</t>
  </si>
  <si>
    <t>Saisie</t>
  </si>
  <si>
    <t>LIMITES</t>
  </si>
  <si>
    <t>CONTACTS</t>
  </si>
  <si>
    <t>$/ha</t>
  </si>
  <si>
    <t>MARGE BÉNÉFICIAIRE APRÈS FRAIS MONÉTAIRES (MARGE MONÉTAIRE)</t>
  </si>
  <si>
    <t>MARGE BÉNÉFICIAIRE APRÈS LES AMORTISSEMENTS ET LES RÉNUMÉRATIONS DU TRAVAIL ET DE L'AVOIR (MARGE NETTE)</t>
  </si>
  <si>
    <t>Prix de marché</t>
  </si>
  <si>
    <t>Rendement du modèle</t>
  </si>
  <si>
    <t>Revenu stabilisé ajusté</t>
  </si>
  <si>
    <t>Blé d'alimentation humaine</t>
  </si>
  <si>
    <t>Blé d'alimentation animale</t>
  </si>
  <si>
    <t>2020-2021</t>
  </si>
  <si>
    <t>Votre ferme</t>
  </si>
  <si>
    <t>Vente</t>
  </si>
  <si>
    <t>An 1</t>
  </si>
  <si>
    <t>An 2</t>
  </si>
  <si>
    <t>An 3</t>
  </si>
  <si>
    <t>An 4</t>
  </si>
  <si>
    <t>An 5</t>
  </si>
  <si>
    <t>An 6</t>
  </si>
  <si>
    <t>Résultats du modèle</t>
  </si>
  <si>
    <t>Moyenne annuelle</t>
  </si>
  <si>
    <t>Résultats de votre ferme</t>
  </si>
  <si>
    <t>RÉSULTATS DU MODÈLE</t>
  </si>
  <si>
    <t>Année</t>
  </si>
  <si>
    <t>Lieu</t>
  </si>
  <si>
    <t>Résultats</t>
  </si>
  <si>
    <t>Sources</t>
  </si>
  <si>
    <t>Guelph, Ontario</t>
  </si>
  <si>
    <t>Rotations</t>
  </si>
  <si>
    <t>A. Monoculture maïs
B. Maïs-Soya
C. Maïs-Soya-Blé d'automne
D. Maïs-Soya-Blé d'automne_CC de trèfle rouge dans blé d'automne</t>
  </si>
  <si>
    <t>La rotation B permet des rendements de maïs entre 5-27 % plus élevée que la monoculture de maïs, et de soya entre 5-17 % plus élevé que la monoculture de soya.
La rotation C permet des rendements de maïs de 12 % plus élevé que la rotation B, et des gains de rendements de soya de 10 % plus élevé que la rotation B.
L'ajout de trèfle rouge augmente les rendements de 5 %.</t>
  </si>
  <si>
    <t>Pennsylvanie</t>
  </si>
  <si>
    <t>A. Monoculture maïs
B. Maïs-Soya
C. 4 X Maïs- 4 X Luzerne
D. Maïs-Avoine/Blé- 2 X Trèfle Rouge / Fléole des prés</t>
  </si>
  <si>
    <t>La rotation C permet des rendement de maïs entre 7 et 12 % plus élevée que la monoculture de maïs.</t>
  </si>
  <si>
    <t>Saint-Hyacinthe et Normandin</t>
  </si>
  <si>
    <t>A. Monoculture maïs
B. Monoculture soya
C. Maïs-soya
D. Maïs-soya-Blé</t>
  </si>
  <si>
    <t xml:space="preserve">La rotation permet des gains de rendements de maïs de 6.8 % lorsqu'il y a labour et de 7.7 % lorsqu'il y a chisel par rapport à la monoculture.
La rotation permet des gains de rendement du soya de 6.3 % lorsqu'il y a labour et de 3.5 % lorsqu'il y a chisel par rapport à la monoculture. </t>
  </si>
  <si>
    <t>Beloeil</t>
  </si>
  <si>
    <t>A. Monoculture de maïs
B. Maïs-Soya-Blé
C. Maïs-Soya-Blé-3X Prairie
D. Prairie</t>
  </si>
  <si>
    <t>La rotation B permet des gains de rendements du maïs-grain de 14 % par rapport à la monoculture de maïs.
La rotation C permet des gains de rendements de maïs-grain de 11 % par rapport à la monoculture de maïs.</t>
  </si>
  <si>
    <r>
      <t xml:space="preserve">Tremblay G. (2016) </t>
    </r>
    <r>
      <rPr>
        <i/>
        <sz val="11"/>
        <color theme="1"/>
        <rFont val="Calibri"/>
        <family val="2"/>
        <scheme val="minor"/>
      </rPr>
      <t>Bénéfices des rotations en grandes cultures</t>
    </r>
    <r>
      <rPr>
        <sz val="11"/>
        <color theme="1"/>
        <rFont val="Calibri"/>
        <family val="2"/>
        <scheme val="minor"/>
      </rPr>
      <t>. Drummondville : CÉROM. 42 pages.</t>
    </r>
  </si>
  <si>
    <t>Seigle hybride</t>
  </si>
  <si>
    <t>GAINS AGRONOMIQUES DE LA ROTATION ET CULTURES DE COUVERTURE</t>
  </si>
  <si>
    <t>Semences</t>
  </si>
  <si>
    <t>Gains de rendement</t>
  </si>
  <si>
    <t>Vos gains de rendement</t>
  </si>
  <si>
    <t>1. Les gains agronomiques considérés dans ce modèle correspondent à l'augmentation de rendement attendu par la diversification des rotations et l'ajout d'une culture de couverture et à nombre d'unités d'azote fourni par la culture de couverture.</t>
  </si>
  <si>
    <t>Gains azotés</t>
  </si>
  <si>
    <t>Unités d'azote</t>
  </si>
  <si>
    <t>Vos gains azoté</t>
  </si>
  <si>
    <t>% de gains agronomiques lors de la première rotation</t>
  </si>
  <si>
    <t xml:space="preserve">% de gains agronomiques  </t>
  </si>
  <si>
    <t>% de gains de votre ferme</t>
  </si>
  <si>
    <t>Cet onglet présente les modèles utilisés pour générer les coûts de production des cultures. L'utilisateur peut modifier les coûts pour refléter sa situation. Si un poste de dépenses ou de revenus n'est pas modifié par l'utilisateur, le modèle sélectionnera la donnée inscrite dans la région centrale ou périphérique.</t>
  </si>
  <si>
    <t>ASRA_Calculs</t>
  </si>
  <si>
    <t>Rendements_CECPA / Prix_CECPA</t>
  </si>
  <si>
    <t>Le modèle retient les données initiales du CECPA quant au prix et au rendement des différentes cultures. Ces données pourraient être mises à jour périodiquement.</t>
  </si>
  <si>
    <t>Le modèle retient les données de l'ASRA pour calculer le prix minimal attendu par le producteur agricole. Les données de cet onglet devront être mis à jour annuellement.</t>
  </si>
  <si>
    <t>Intermédiaire_Prod-Résultats</t>
  </si>
  <si>
    <t>Cet onglet lie les données inscrites par l'usager et les résultats.</t>
  </si>
  <si>
    <t>Cet onglet présente les résultats des marges bénéficiaires brutes, des marges monétaires et des marges nettes pour différentes rotations. Les résultats sont divisés entre ceux obtenus par le modèle (bleu) et ceux incorporant les modifications effectuées par l'usager (orange).</t>
  </si>
  <si>
    <r>
      <t>Le modèle utilise les gains agronomiques</t>
    </r>
    <r>
      <rPr>
        <vertAlign val="superscript"/>
        <sz val="11"/>
        <color theme="1"/>
        <rFont val="Calibri"/>
        <family val="2"/>
        <scheme val="minor"/>
      </rPr>
      <t>1</t>
    </r>
    <r>
      <rPr>
        <sz val="11"/>
        <color theme="1"/>
        <rFont val="Calibri"/>
        <family val="2"/>
        <scheme val="minor"/>
      </rPr>
      <t xml:space="preserve"> ci-dessous. Si ces gains ne reflètent pas ceux observés sur votre ferme, nous vous invitons à les indiquer dans la colonne inscrite à cet effet. Si votre exploitation ne produit pas cette culture, ne rien inscrire dans la colonne. Si aucunes cultures de couverture ou engrais verts ne sont considérés par votre entreprise, inscrire 0 dans la case de gains azotée prévue à cet effet.</t>
    </r>
  </si>
  <si>
    <t>Total ($/ha)</t>
  </si>
  <si>
    <t>Coûts de semences</t>
  </si>
  <si>
    <t>Opérations de semis</t>
  </si>
  <si>
    <t>Québec</t>
  </si>
  <si>
    <t>Rotation</t>
  </si>
  <si>
    <t>Cultures de couverture</t>
  </si>
  <si>
    <t>Les cultures de couverture en A permettent une augmentation du rendement de maïs de 13 % et des céréales de 22 %. Aucun impact dans le soya.
Les cultures de couverture en B permettent une augmentation du rendement de maïs de 11 % et des céréales de 11 %. Aucun impact dans le soya.</t>
  </si>
  <si>
    <t>A. Tous types de cultures de couverture, tout mode d'implantation
B. Tous types de cultures de couverture, implantation en dérobé et intercalaire.</t>
  </si>
  <si>
    <r>
      <t xml:space="preserve">Vanasse A., Thibaudeau S. &amp; Weill A. (2022). </t>
    </r>
    <r>
      <rPr>
        <i/>
        <sz val="11"/>
        <color theme="1"/>
        <rFont val="Calibri"/>
        <family val="2"/>
        <scheme val="minor"/>
      </rPr>
      <t xml:space="preserve">Guide des cultures de couverture en grandes cultures. </t>
    </r>
    <r>
      <rPr>
        <sz val="11"/>
        <color theme="1"/>
        <rFont val="Calibri"/>
        <family val="2"/>
        <scheme val="minor"/>
      </rPr>
      <t>Centre de référence en agriculture et agroalimentaire au Québec (CRAAQ). 204 pages.</t>
    </r>
  </si>
  <si>
    <t>Quantité (kg/ha)</t>
  </si>
  <si>
    <t>Prix ($/25kg)</t>
  </si>
  <si>
    <t>Coûts de semis-direct</t>
  </si>
  <si>
    <t>Coût total de la culture de couverture</t>
  </si>
  <si>
    <t>Présence de cultures de couverture</t>
  </si>
  <si>
    <t>Aucun gains agronomiques</t>
  </si>
  <si>
    <t>50 % de gains agronomiques</t>
  </si>
  <si>
    <t>Biologique</t>
  </si>
  <si>
    <t>Seigle</t>
  </si>
  <si>
    <t>Coût unitaire de l'azote</t>
  </si>
  <si>
    <t>100 % de gains agronomiques</t>
  </si>
  <si>
    <t>Cet outil documente plusieurs types de marges bénéficiaires attendus selon la rotation employée. Cet outil se veut une aide à la décision pour le producteur agricole.</t>
  </si>
  <si>
    <r>
      <t xml:space="preserve">Gaudin A.C.M., Tolhurst T.N., Ker A.P., Janovicek K., Tortora C., et al. (2015). Increasing Crop Diversity Mitigates Weather Variations and Improves Yield Stability. Dans </t>
    </r>
    <r>
      <rPr>
        <i/>
        <sz val="11"/>
        <color theme="1"/>
        <rFont val="Calibri"/>
        <family val="2"/>
        <scheme val="minor"/>
      </rPr>
      <t>Plos One</t>
    </r>
    <r>
      <rPr>
        <sz val="11"/>
        <color theme="1"/>
        <rFont val="Calibri"/>
        <family val="2"/>
        <scheme val="minor"/>
      </rPr>
      <t>. Vol 10(2). 20 pages.</t>
    </r>
  </si>
  <si>
    <t>A. Monoculture maïs
B. Maïs-Maïs-Soya-Soya
C. Maïs-Maïs-Luzerne-Luzerne
D. Maïs-Maïs-Soya-Blé d'automne
E. Maïs-Maïs-Avoine-Orge
F. Maïs-Maïs-Soya-Blé d'automne_CC de trèfle rouge dans blé d'automne
G. Maïs-Maïs-Avoine_CC de trèfle rouge dans l'avoine-Orge_CC de trèfle rouge dans l'orge</t>
  </si>
  <si>
    <t xml:space="preserve">La rotation B n'a aucune différence significative avec la rotation A. 
La rotation C permet des rendements de maïs 10 % plus élevés.
La rotation D n'a aucune différence significative pour le rendement du maïs que la rotation B, mais permet des rendements 14 % plus élevés pour le soya que la rotation B.
Les rotations E et F n'ont aucunes différences significatives avec la rotation B. 
La rotation G permet des rendements de 6 % plus élevés que la rotation B.
</t>
  </si>
  <si>
    <t>An 7</t>
  </si>
  <si>
    <t>An 8</t>
  </si>
  <si>
    <t>An 9</t>
  </si>
  <si>
    <t>Cet onglet permet de modifier les données initiales de l'entreprise agricole, notamment quant aux prix et aux rendements des différentes cultures. Le producteur peut donc inscrire ses propres prix et le rendement attendu dans les colonnes "Vos prix" et "Vos rendements". Si votre exploitation ne cultive pas cette production, ne rien inscrire dans la colonne "Vos rendements".
L'outil considère des gains agronomiques liés à la diversification de la rotation et à l'ajout d'une culture de couverture. Vous pouvez inscrire les gains agronomiques attendus liés à la diversification de la rotation dans la colonne "Vos gains agronomiques". De plus, nous considérons que la culture de couverture permet de compenser pour la fertilisation azotée. Vous pouvez inscrire la compensation azotée attendue dans vos champs.
Enfin, cet outil prend en compte que les gains provenant de la diversification de la rotation et de l'ajout de culture de couverture n'est pas instantanné. Ainsi, l'outil permet d'ajuster la portion des gains agronomiques attendus suite au premier cycle de rotation des cultures.</t>
  </si>
  <si>
    <t>Maïs-grain / Soya / Orge / Avoine / Blé d'automne / Blé de printemps / Seigle / Seigle hybride</t>
  </si>
  <si>
    <t>Il est à noter que cet outil est un outil d'aide à la décision et il doit être utiliser uniquement en ce sens. Avant de prendre des décisions de production, nous recommandons à ce que le producteur consulte son agronome-conseil pour prendre en compte tous les facteurs spécifiques à son entreprise agricole.  Toutes décisions prises par les producteurs à l'aide de cet outil sont la responsabilité du producteur agricole et n'engage en aucun cas le groupe Concertation Grains Québec et les auteurs de l'outil.</t>
  </si>
  <si>
    <t>Marlène Thiboutot, Concertation Grains Québec.</t>
  </si>
  <si>
    <t>marlenethiboutot@concertationgrainsquebec.ca</t>
  </si>
  <si>
    <t>Cycle 1</t>
  </si>
  <si>
    <t>Cycle 2</t>
  </si>
  <si>
    <t>Cycle 3</t>
  </si>
  <si>
    <t>AUTRES PRATIQUES BÉNÉFIQUES</t>
  </si>
  <si>
    <t>Cette section vous permet d'inscrire d'autres coûts de pratiques de gestion bénéfiques que vous utilisez sur votre production agricole.</t>
  </si>
  <si>
    <t>Autres coûts</t>
  </si>
  <si>
    <t>Vos autres coûts</t>
  </si>
  <si>
    <t>Intrants de cultures</t>
  </si>
  <si>
    <t>Forfait et location</t>
  </si>
  <si>
    <t>Entretien</t>
  </si>
  <si>
    <t>Énergie</t>
  </si>
  <si>
    <t>FRAIS MONÉTAIRE</t>
  </si>
  <si>
    <t>MARGE BÉNÉFICIAIRE APRÈS LES AMORTISSEMENTS ET LES RÉNUMÉRATIONS DU TRAVAIL (MARGE NETTE)</t>
  </si>
  <si>
    <t>Taxes et assurances</t>
  </si>
  <si>
    <t>Frais de financement</t>
  </si>
  <si>
    <t>FRAIS NON MONÉTAIRE</t>
  </si>
  <si>
    <t>Agri-Québec et Agri-Investissement</t>
  </si>
  <si>
    <t>Marge bénéficiaire après frais monétaires (marge monétaires)</t>
  </si>
  <si>
    <t>Marge bénéficiaire après les amortissements et la rémunération du travail (marge nette)</t>
  </si>
  <si>
    <t>Centrale Biologique</t>
  </si>
  <si>
    <t>Blé de printemps panifiable</t>
  </si>
  <si>
    <t>Blé d'automne panifiable</t>
  </si>
  <si>
    <t>Seigle hybride d'automne</t>
  </si>
  <si>
    <t>Prix utilisés par le modèle ($/t)</t>
  </si>
  <si>
    <t>Oui</t>
  </si>
  <si>
    <t>Trèfle rouge</t>
  </si>
  <si>
    <t>Rendements utilisés par le modèle (t/ha)</t>
  </si>
  <si>
    <t>Trèfle rouge semis pur précédant un maïs</t>
  </si>
  <si>
    <t>Correspond à un semis pure de trèfle rouge. Les doses de semis proviennent du guide des cultures de couverture en grandes cultures provenant du CRAAQ. Le coût des semences provient des références économiques du CRAAQ sur les grains de semences. Le coût du semis-direct provient des références économique du CRAAQ sur la machinerie.</t>
  </si>
  <si>
    <t>SOYA-BLÉ D'AUTOMNE PANIFIABLE-MG</t>
  </si>
  <si>
    <t>SOYA-BLÉ DE PRINTEMPS PANIFIABLE-MG</t>
  </si>
  <si>
    <t>SOYA-ORGE-MG</t>
  </si>
  <si>
    <t>SOYA-AVOINE-MG</t>
  </si>
  <si>
    <t>SOYA-SEIGLE-MG</t>
  </si>
  <si>
    <t>SOYA-SEIGLE HYBRIDE D'AUTOMNE-MG</t>
  </si>
  <si>
    <t>Résultats détaillés</t>
  </si>
  <si>
    <t>Résultats sommaires</t>
  </si>
  <si>
    <t>CONCEPTEURS</t>
  </si>
  <si>
    <t>Gains agronomiques</t>
  </si>
  <si>
    <t>Cet onglet présente les différents gains agronomiques attendus lors de la diversification de la rotation et l'ajout de cultures de couverture. Ces données devront être mises à jour périodiquement.</t>
  </si>
  <si>
    <t>Cet onglet présente les coûts relatifs à la cultures de couverture.</t>
  </si>
  <si>
    <t>Cet onglet présente les résultats des marges bénéficiaires brutes, des marges monétaires et des marges nettes selon les différents cycles de rotations. Les résultats sont divisés entre ceux obtenus par le modèle (bleu) et ceux incorporant les modifications effectuées par l'usager (orange). Il s'agit d'une récapitulation des résultats.</t>
  </si>
  <si>
    <t>Le présent outil est la propriété de Lota D. Tamini et de Philippe Leriche. Les propriétaires autorisent le groupe Concertation Grains Québec à diffuser l'outil, mais n'autorisent pas la commercialisation de celui-ci. Toutes autres diffusions ou commercialisations ne peuvent se faire sans l'autorisation écrites de ses propriétaires.</t>
  </si>
  <si>
    <t>GAINS PROGRESSIFS</t>
  </si>
  <si>
    <t>Le modèle considère que les gains agronomiques attendus ne seront pas perçus lors du premier cycle de rotation puisqu'il y a une courbe d'apprentissage lorsque l'on se familiarise avec une nouvelle technique et pour prendre en compte l'amélioration progressive de la terre. Le modèle considère donc des portions des gains agronomiques présentés ici. Si ces gains ne reflètent pas ceux observés sur votre ferme, nous vous invitons à les indiquer dans la colonne inscrite à cet effet.</t>
  </si>
  <si>
    <t>Gains agronomiques - Cycle 1</t>
  </si>
  <si>
    <t>Gains agronomiques - Cycle 2</t>
  </si>
  <si>
    <t>Gains agronomiques - Cycle 3</t>
  </si>
  <si>
    <t>ROTATIONS</t>
  </si>
  <si>
    <t>Moyenne annuelle 
Cycle 1</t>
  </si>
  <si>
    <t>Moyenne annuelle 
Cycle 2</t>
  </si>
  <si>
    <t>Moyenne annuelle 
Cycle 3</t>
  </si>
  <si>
    <t>Moyenne annuelle des trois cycles</t>
  </si>
  <si>
    <t>Marge bénéficiaire après frais monétaires, moyenne annuelle ($/ha)</t>
  </si>
  <si>
    <t>Marge bénéficiaire après amortissement et rémunération du travail, moyenne annuelle ($/ha)</t>
  </si>
  <si>
    <t>Marge bénéficiaire après frais monétaires de votre ferme, moyenne annuelle ($/ha)</t>
  </si>
  <si>
    <t>Marge bénéficiaire après amortissement et rémunération du travail de votre ferme, moyenne annuelle ($/ha)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</si>
</sst>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_-&quot;$&quot;* #,##0.00_-;\-&quot;$&quot;* #,##0.00_-;_-&quot;$&quot;* &quot;-&quot;??_-;_-@_-"/>
    <numFmt numFmtId="165" formatCode="0.0"/>
    <numFmt numFmtId="166" formatCode="#\ ##0\ &quot;$&quot;"/>
  </numFmts>
  <fonts count="11" x14ac:knownFonts="1">
    <font>
      <sz val="11"/>
      <color theme="1"/>
      <name val="Calibri"/>
      <family val="2"/>
      <scheme val="minor"/>
    </font>
    <font>
      <b/>
      <sz val="11"/>
      <color theme="1"/>
      <name val="Calibri"/>
      <family val="2"/>
      <scheme val="minor"/>
    </font>
    <font>
      <vertAlign val="superscript"/>
      <sz val="11"/>
      <color theme="1"/>
      <name val="Calibri"/>
      <family val="2"/>
      <scheme val="minor"/>
    </font>
    <font>
      <b/>
      <sz val="12"/>
      <color theme="1"/>
      <name val="Calibri"/>
      <family val="2"/>
      <scheme val="minor"/>
    </font>
    <font>
      <b/>
      <sz val="14"/>
      <color theme="1"/>
      <name val="Calibri"/>
      <family val="2"/>
      <scheme val="minor"/>
    </font>
    <font>
      <i/>
      <sz val="11"/>
      <color theme="1"/>
      <name val="Calibri"/>
      <family val="2"/>
      <scheme val="minor"/>
    </font>
    <font>
      <sz val="8"/>
      <name val="Calibri"/>
      <family val="2"/>
      <scheme val="minor"/>
    </font>
    <font>
      <u/>
      <sz val="11"/>
      <color theme="10"/>
      <name val="Calibri"/>
      <family val="2"/>
      <scheme val="minor"/>
    </font>
    <font>
      <sz val="11"/>
      <name val="Calibri"/>
      <family val="2"/>
      <scheme val="minor"/>
    </font>
    <font>
      <sz val="11"/>
      <color rgb="FFFF0000"/>
      <name val="Calibri"/>
      <family val="2"/>
      <scheme val="minor"/>
    </font>
    <font>
      <sz val="11"/>
      <color theme="1"/>
      <name val="Calibri"/>
      <family val="2"/>
      <scheme val="minor"/>
    </font>
  </fonts>
  <fills count="9">
    <fill>
      <patternFill patternType="none"/>
    </fill>
    <fill>
      <patternFill patternType="gray125"/>
    </fill>
    <fill>
      <patternFill patternType="solid">
        <fgColor theme="0" tint="-0.14999847407452621"/>
        <bgColor indexed="64"/>
      </patternFill>
    </fill>
    <fill>
      <patternFill patternType="solid">
        <fgColor theme="8" tint="0.79998168889431442"/>
        <bgColor indexed="64"/>
      </patternFill>
    </fill>
    <fill>
      <patternFill patternType="solid">
        <fgColor theme="5" tint="0.79998168889431442"/>
        <bgColor indexed="64"/>
      </patternFill>
    </fill>
    <fill>
      <patternFill patternType="solid">
        <fgColor theme="0" tint="-4.9989318521683403E-2"/>
        <bgColor indexed="64"/>
      </patternFill>
    </fill>
    <fill>
      <patternFill patternType="solid">
        <fgColor theme="4" tint="0.79998168889431442"/>
        <bgColor indexed="64"/>
      </patternFill>
    </fill>
    <fill>
      <patternFill patternType="solid">
        <fgColor theme="4" tint="0.59999389629810485"/>
        <bgColor indexed="64"/>
      </patternFill>
    </fill>
    <fill>
      <patternFill patternType="solid">
        <fgColor theme="5" tint="0.59999389629810485"/>
        <bgColor indexed="64"/>
      </patternFill>
    </fill>
  </fills>
  <borders count="23">
    <border>
      <left/>
      <right/>
      <top/>
      <bottom/>
      <diagonal/>
    </border>
    <border>
      <left style="dashed">
        <color auto="1"/>
      </left>
      <right style="dashed">
        <color auto="1"/>
      </right>
      <top style="dashed">
        <color auto="1"/>
      </top>
      <bottom style="dashed">
        <color auto="1"/>
      </bottom>
      <diagonal/>
    </border>
    <border>
      <left/>
      <right/>
      <top style="thin">
        <color auto="1"/>
      </top>
      <bottom/>
      <diagonal/>
    </border>
    <border>
      <left/>
      <right/>
      <top style="thin">
        <color indexed="64"/>
      </top>
      <bottom style="double">
        <color indexed="64"/>
      </bottom>
      <diagonal/>
    </border>
    <border>
      <left/>
      <right/>
      <top style="thin">
        <color indexed="64"/>
      </top>
      <bottom style="thin">
        <color indexed="64"/>
      </bottom>
      <diagonal/>
    </border>
    <border>
      <left style="dashed">
        <color indexed="64"/>
      </left>
      <right style="thin">
        <color indexed="64"/>
      </right>
      <top style="thin">
        <color indexed="64"/>
      </top>
      <bottom style="thin">
        <color indexed="64"/>
      </bottom>
      <diagonal/>
    </border>
    <border>
      <left style="dashed">
        <color indexed="64"/>
      </left>
      <right style="dashed">
        <color indexed="64"/>
      </right>
      <top style="thin">
        <color indexed="64"/>
      </top>
      <bottom style="thin">
        <color indexed="64"/>
      </bottom>
      <diagonal/>
    </border>
    <border>
      <left style="dashed">
        <color indexed="64"/>
      </left>
      <right style="thin">
        <color indexed="64"/>
      </right>
      <top style="dashed">
        <color indexed="64"/>
      </top>
      <bottom style="dashed">
        <color indexed="64"/>
      </bottom>
      <diagonal/>
    </border>
    <border>
      <left style="thin">
        <color indexed="64"/>
      </left>
      <right/>
      <top style="dashed">
        <color indexed="64"/>
      </top>
      <bottom style="dashed">
        <color indexed="64"/>
      </bottom>
      <diagonal/>
    </border>
    <border>
      <left style="thin">
        <color indexed="64"/>
      </left>
      <right/>
      <top/>
      <bottom/>
      <diagonal/>
    </border>
    <border>
      <left style="thin">
        <color indexed="64"/>
      </left>
      <right/>
      <top style="thin">
        <color indexed="64"/>
      </top>
      <bottom style="thin">
        <color indexed="64"/>
      </bottom>
      <diagonal/>
    </border>
    <border>
      <left/>
      <right/>
      <top style="dashed">
        <color auto="1"/>
      </top>
      <bottom/>
      <diagonal/>
    </border>
    <border>
      <left style="dashed">
        <color auto="1"/>
      </left>
      <right/>
      <top style="dashed">
        <color auto="1"/>
      </top>
      <bottom style="dashed">
        <color auto="1"/>
      </bottom>
      <diagonal/>
    </border>
    <border>
      <left style="thin">
        <color indexed="64"/>
      </left>
      <right style="thin">
        <color indexed="64"/>
      </right>
      <top/>
      <bottom/>
      <diagonal/>
    </border>
    <border>
      <left/>
      <right style="thin">
        <color auto="1"/>
      </right>
      <top/>
      <bottom/>
      <diagonal/>
    </border>
    <border>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top/>
      <bottom style="thin">
        <color auto="1"/>
      </bottom>
      <diagonal/>
    </border>
    <border>
      <left/>
      <right style="thin">
        <color indexed="64"/>
      </right>
      <top style="thin">
        <color indexed="64"/>
      </top>
      <bottom style="thin">
        <color indexed="64"/>
      </bottom>
      <diagonal/>
    </border>
    <border>
      <left/>
      <right style="thin">
        <color auto="1"/>
      </right>
      <top style="thin">
        <color auto="1"/>
      </top>
      <bottom/>
      <diagonal/>
    </border>
    <border>
      <left style="thin">
        <color auto="1"/>
      </left>
      <right style="thin">
        <color auto="1"/>
      </right>
      <top style="thin">
        <color auto="1"/>
      </top>
      <bottom/>
      <diagonal/>
    </border>
    <border>
      <left style="thin">
        <color indexed="64"/>
      </left>
      <right/>
      <top style="thin">
        <color auto="1"/>
      </top>
      <bottom/>
      <diagonal/>
    </border>
  </borders>
  <cellStyleXfs count="3">
    <xf numFmtId="0" fontId="0" fillId="0" borderId="0"/>
    <xf numFmtId="0" fontId="7" fillId="0" borderId="0" applyNumberFormat="0" applyFill="0" applyBorder="0" applyAlignment="0" applyProtection="0"/>
    <xf numFmtId="9" fontId="10" fillId="0" borderId="0" applyFont="0" applyFill="0" applyBorder="0" applyAlignment="0" applyProtection="0"/>
  </cellStyleXfs>
  <cellXfs count="102">
    <xf numFmtId="0" fontId="0" fillId="0" borderId="0" xfId="0"/>
    <xf numFmtId="0" fontId="1" fillId="0" borderId="0" xfId="0" applyFont="1"/>
    <xf numFmtId="0" fontId="1" fillId="0" borderId="0" xfId="0" applyFont="1" applyAlignment="1">
      <alignment horizontal="center"/>
    </xf>
    <xf numFmtId="2" fontId="0" fillId="0" borderId="0" xfId="0" applyNumberFormat="1"/>
    <xf numFmtId="2" fontId="1" fillId="0" borderId="0" xfId="0" applyNumberFormat="1" applyFont="1"/>
    <xf numFmtId="2" fontId="0" fillId="2" borderId="1" xfId="0" applyNumberFormat="1" applyFill="1" applyBorder="1"/>
    <xf numFmtId="2" fontId="1" fillId="0" borderId="2" xfId="0" applyNumberFormat="1" applyFont="1" applyBorder="1"/>
    <xf numFmtId="2" fontId="1" fillId="0" borderId="3" xfId="0" applyNumberFormat="1" applyFont="1" applyBorder="1"/>
    <xf numFmtId="0" fontId="1" fillId="0" borderId="4" xfId="0" applyFont="1" applyBorder="1"/>
    <xf numFmtId="0" fontId="0" fillId="0" borderId="4" xfId="0" applyBorder="1"/>
    <xf numFmtId="0" fontId="1" fillId="0" borderId="0" xfId="0" applyFont="1" applyAlignment="1">
      <alignment vertical="center"/>
    </xf>
    <xf numFmtId="0" fontId="1" fillId="0" borderId="0" xfId="0" applyFont="1" applyAlignment="1">
      <alignment vertical="center" wrapText="1"/>
    </xf>
    <xf numFmtId="0" fontId="3" fillId="0" borderId="0" xfId="0" applyFont="1" applyAlignment="1">
      <alignment horizontal="center"/>
    </xf>
    <xf numFmtId="0" fontId="1" fillId="0" borderId="6" xfId="0" applyFont="1" applyBorder="1" applyAlignment="1">
      <alignment horizontal="center"/>
    </xf>
    <xf numFmtId="0" fontId="1" fillId="0" borderId="5" xfId="0" applyFont="1" applyBorder="1" applyAlignment="1">
      <alignment horizontal="center"/>
    </xf>
    <xf numFmtId="2" fontId="0" fillId="0" borderId="1" xfId="0" applyNumberFormat="1" applyBorder="1"/>
    <xf numFmtId="2" fontId="0" fillId="0" borderId="7" xfId="0" applyNumberFormat="1" applyBorder="1"/>
    <xf numFmtId="0" fontId="0" fillId="0" borderId="8" xfId="0" applyBorder="1"/>
    <xf numFmtId="0" fontId="0" fillId="3" borderId="0" xfId="0" applyFill="1" applyAlignment="1">
      <alignment horizontal="center"/>
    </xf>
    <xf numFmtId="0" fontId="0" fillId="4" borderId="0" xfId="0" applyFill="1" applyAlignment="1">
      <alignment horizontal="center"/>
    </xf>
    <xf numFmtId="0" fontId="0" fillId="5" borderId="1" xfId="0" applyFill="1" applyBorder="1"/>
    <xf numFmtId="0" fontId="3" fillId="3" borderId="4" xfId="0" applyFont="1" applyFill="1" applyBorder="1" applyAlignment="1">
      <alignment horizontal="center"/>
    </xf>
    <xf numFmtId="0" fontId="3" fillId="4" borderId="4" xfId="0" applyFont="1" applyFill="1" applyBorder="1" applyAlignment="1">
      <alignment horizontal="center"/>
    </xf>
    <xf numFmtId="0" fontId="3" fillId="6" borderId="4" xfId="0" applyFont="1" applyFill="1" applyBorder="1" applyAlignment="1">
      <alignment horizontal="center"/>
    </xf>
    <xf numFmtId="0" fontId="0" fillId="0" borderId="0" xfId="0" applyAlignment="1">
      <alignment vertical="center"/>
    </xf>
    <xf numFmtId="0" fontId="0" fillId="0" borderId="0" xfId="0" applyAlignment="1">
      <alignment vertical="center" wrapText="1"/>
    </xf>
    <xf numFmtId="0" fontId="1" fillId="0" borderId="0" xfId="0" applyFont="1" applyAlignment="1">
      <alignment horizontal="left" wrapText="1"/>
    </xf>
    <xf numFmtId="9" fontId="0" fillId="0" borderId="0" xfId="0" applyNumberFormat="1"/>
    <xf numFmtId="0" fontId="0" fillId="0" borderId="0" xfId="0" applyAlignment="1">
      <alignment horizontal="center"/>
    </xf>
    <xf numFmtId="0" fontId="0" fillId="0" borderId="0" xfId="0" applyAlignment="1">
      <alignment horizontal="left" wrapText="1"/>
    </xf>
    <xf numFmtId="0" fontId="0" fillId="0" borderId="0" xfId="0" applyAlignment="1">
      <alignment horizontal="left" indent="2"/>
    </xf>
    <xf numFmtId="0" fontId="1" fillId="0" borderId="9" xfId="0" applyFont="1" applyBorder="1" applyAlignment="1">
      <alignment horizontal="center"/>
    </xf>
    <xf numFmtId="0" fontId="3" fillId="6" borderId="10" xfId="0" applyFont="1" applyFill="1" applyBorder="1" applyAlignment="1">
      <alignment horizontal="center"/>
    </xf>
    <xf numFmtId="0" fontId="0" fillId="0" borderId="9" xfId="0" applyBorder="1"/>
    <xf numFmtId="2" fontId="0" fillId="0" borderId="9" xfId="0" applyNumberFormat="1" applyBorder="1"/>
    <xf numFmtId="2" fontId="0" fillId="0" borderId="12" xfId="0" applyNumberFormat="1" applyBorder="1"/>
    <xf numFmtId="1" fontId="0" fillId="0" borderId="0" xfId="0" applyNumberFormat="1"/>
    <xf numFmtId="0" fontId="0" fillId="0" borderId="13" xfId="0" applyBorder="1"/>
    <xf numFmtId="2" fontId="0" fillId="0" borderId="12" xfId="0" applyNumberFormat="1" applyBorder="1" applyAlignment="1">
      <alignment horizontal="center"/>
    </xf>
    <xf numFmtId="165" fontId="0" fillId="0" borderId="0" xfId="0" applyNumberFormat="1"/>
    <xf numFmtId="0" fontId="7" fillId="0" borderId="0" xfId="1"/>
    <xf numFmtId="164" fontId="0" fillId="0" borderId="0" xfId="0" applyNumberFormat="1"/>
    <xf numFmtId="164" fontId="0" fillId="5" borderId="1" xfId="0" applyNumberFormat="1" applyFill="1" applyBorder="1"/>
    <xf numFmtId="2" fontId="1" fillId="0" borderId="11" xfId="0" applyNumberFormat="1" applyFont="1" applyBorder="1"/>
    <xf numFmtId="2" fontId="8" fillId="0" borderId="0" xfId="0" applyNumberFormat="1" applyFont="1"/>
    <xf numFmtId="0" fontId="0" fillId="0" borderId="14" xfId="0" applyBorder="1"/>
    <xf numFmtId="0" fontId="0" fillId="0" borderId="15" xfId="0" applyBorder="1"/>
    <xf numFmtId="9" fontId="0" fillId="5" borderId="1" xfId="0" applyNumberFormat="1" applyFill="1" applyBorder="1"/>
    <xf numFmtId="9" fontId="8" fillId="0" borderId="0" xfId="0" applyNumberFormat="1" applyFont="1"/>
    <xf numFmtId="0" fontId="8" fillId="0" borderId="0" xfId="0" applyFont="1"/>
    <xf numFmtId="1" fontId="8" fillId="0" borderId="0" xfId="0" applyNumberFormat="1" applyFont="1"/>
    <xf numFmtId="0" fontId="9" fillId="0" borderId="0" xfId="0" applyFont="1"/>
    <xf numFmtId="0" fontId="8" fillId="0" borderId="9" xfId="0" applyFont="1" applyBorder="1"/>
    <xf numFmtId="0" fontId="8" fillId="0" borderId="8" xfId="0" applyFont="1" applyBorder="1"/>
    <xf numFmtId="2" fontId="8" fillId="0" borderId="1" xfId="0" applyNumberFormat="1" applyFont="1" applyBorder="1"/>
    <xf numFmtId="2" fontId="8" fillId="0" borderId="12" xfId="0" applyNumberFormat="1" applyFont="1" applyBorder="1"/>
    <xf numFmtId="2" fontId="8" fillId="0" borderId="7" xfId="0" applyNumberFormat="1" applyFont="1" applyBorder="1"/>
    <xf numFmtId="0" fontId="0" fillId="0" borderId="0" xfId="0" applyAlignment="1">
      <alignment wrapText="1"/>
    </xf>
    <xf numFmtId="9" fontId="0" fillId="0" borderId="0" xfId="0" applyNumberFormat="1" applyAlignment="1">
      <alignment horizontal="right"/>
    </xf>
    <xf numFmtId="9" fontId="0" fillId="5" borderId="1" xfId="2" applyFont="1" applyFill="1" applyBorder="1"/>
    <xf numFmtId="0" fontId="1" fillId="6" borderId="0" xfId="0" applyFont="1" applyFill="1"/>
    <xf numFmtId="0" fontId="1" fillId="7" borderId="0" xfId="0" applyFont="1" applyFill="1"/>
    <xf numFmtId="0" fontId="1" fillId="4" borderId="0" xfId="0" applyFont="1" applyFill="1" applyAlignment="1">
      <alignment horizontal="left"/>
    </xf>
    <xf numFmtId="0" fontId="1" fillId="8" borderId="0" xfId="0" applyFont="1" applyFill="1" applyAlignment="1">
      <alignment horizontal="left"/>
    </xf>
    <xf numFmtId="0" fontId="1" fillId="0" borderId="14" xfId="0" applyFont="1" applyBorder="1" applyAlignment="1">
      <alignment horizontal="center" wrapText="1"/>
    </xf>
    <xf numFmtId="0" fontId="1" fillId="0" borderId="13" xfId="0" applyFont="1" applyBorder="1" applyAlignment="1">
      <alignment horizontal="center" wrapText="1"/>
    </xf>
    <xf numFmtId="0" fontId="1" fillId="0" borderId="9" xfId="0" applyFont="1" applyBorder="1" applyAlignment="1">
      <alignment horizontal="center" wrapText="1"/>
    </xf>
    <xf numFmtId="0" fontId="1" fillId="0" borderId="9" xfId="0" applyFont="1" applyBorder="1" applyAlignment="1">
      <alignment horizontal="center" vertical="center" wrapText="1"/>
    </xf>
    <xf numFmtId="166" fontId="0" fillId="0" borderId="17" xfId="0" applyNumberFormat="1" applyBorder="1" applyAlignment="1">
      <alignment horizontal="center"/>
    </xf>
    <xf numFmtId="166" fontId="0" fillId="0" borderId="18" xfId="0" applyNumberFormat="1" applyBorder="1" applyAlignment="1">
      <alignment horizontal="center"/>
    </xf>
    <xf numFmtId="0" fontId="0" fillId="0" borderId="19" xfId="0" applyBorder="1"/>
    <xf numFmtId="166" fontId="0" fillId="0" borderId="16" xfId="0" applyNumberFormat="1" applyBorder="1" applyAlignment="1">
      <alignment horizontal="center"/>
    </xf>
    <xf numFmtId="166" fontId="0" fillId="0" borderId="10" xfId="0" applyNumberFormat="1" applyBorder="1" applyAlignment="1">
      <alignment horizontal="center"/>
    </xf>
    <xf numFmtId="0" fontId="0" fillId="0" borderId="20" xfId="0" applyBorder="1"/>
    <xf numFmtId="166" fontId="0" fillId="0" borderId="21" xfId="0" applyNumberFormat="1" applyBorder="1" applyAlignment="1">
      <alignment horizontal="center"/>
    </xf>
    <xf numFmtId="166" fontId="0" fillId="0" borderId="22" xfId="0" applyNumberFormat="1" applyBorder="1" applyAlignment="1">
      <alignment horizontal="center"/>
    </xf>
    <xf numFmtId="166" fontId="0" fillId="0" borderId="0" xfId="0" applyNumberFormat="1" applyAlignment="1">
      <alignment horizontal="center"/>
    </xf>
    <xf numFmtId="0" fontId="1" fillId="4" borderId="0" xfId="0" applyFont="1" applyFill="1"/>
    <xf numFmtId="0" fontId="1" fillId="8" borderId="0" xfId="0" applyFont="1" applyFill="1"/>
    <xf numFmtId="0" fontId="0" fillId="0" borderId="2" xfId="0" applyBorder="1" applyAlignment="1">
      <alignment horizontal="left" vertical="top" wrapText="1"/>
    </xf>
    <xf numFmtId="0" fontId="0" fillId="0" borderId="0" xfId="0" applyAlignment="1">
      <alignment horizontal="left" wrapText="1"/>
    </xf>
    <xf numFmtId="0" fontId="0" fillId="0" borderId="0" xfId="0" applyAlignment="1">
      <alignment horizontal="left" vertical="top" wrapText="1"/>
    </xf>
    <xf numFmtId="0" fontId="1" fillId="0" borderId="0" xfId="0" applyFont="1" applyAlignment="1">
      <alignment horizontal="center"/>
    </xf>
    <xf numFmtId="0" fontId="0" fillId="0" borderId="0" xfId="0" applyAlignment="1">
      <alignment horizontal="center"/>
    </xf>
    <xf numFmtId="0" fontId="0" fillId="0" borderId="2" xfId="0" applyBorder="1" applyAlignment="1">
      <alignment horizontal="left" wrapText="1"/>
    </xf>
    <xf numFmtId="0" fontId="0" fillId="0" borderId="0" xfId="0" applyAlignment="1">
      <alignment horizontal="center" vertical="center" wrapText="1"/>
    </xf>
    <xf numFmtId="0" fontId="1" fillId="0" borderId="0" xfId="0" applyFont="1" applyAlignment="1">
      <alignment horizontal="left" wrapText="1"/>
    </xf>
    <xf numFmtId="0" fontId="1" fillId="0" borderId="14" xfId="0" applyFont="1" applyBorder="1" applyAlignment="1">
      <alignment horizontal="center"/>
    </xf>
    <xf numFmtId="0" fontId="1" fillId="0" borderId="9" xfId="0" applyFont="1" applyBorder="1" applyAlignment="1">
      <alignment horizontal="center"/>
    </xf>
    <xf numFmtId="0" fontId="3" fillId="4" borderId="0" xfId="0" applyFont="1" applyFill="1" applyAlignment="1">
      <alignment horizontal="center"/>
    </xf>
    <xf numFmtId="0" fontId="4" fillId="4" borderId="0" xfId="0" applyFont="1" applyFill="1" applyAlignment="1">
      <alignment horizontal="center"/>
    </xf>
    <xf numFmtId="0" fontId="3" fillId="8" borderId="0" xfId="0" applyFont="1" applyFill="1" applyAlignment="1">
      <alignment horizontal="center"/>
    </xf>
    <xf numFmtId="0" fontId="4" fillId="8" borderId="0" xfId="0" applyFont="1" applyFill="1" applyAlignment="1">
      <alignment horizontal="center"/>
    </xf>
    <xf numFmtId="0" fontId="4" fillId="6" borderId="0" xfId="0" applyFont="1" applyFill="1" applyAlignment="1">
      <alignment horizontal="center"/>
    </xf>
    <xf numFmtId="0" fontId="3" fillId="6" borderId="0" xfId="0" applyFont="1" applyFill="1" applyAlignment="1">
      <alignment horizontal="center"/>
    </xf>
    <xf numFmtId="0" fontId="4" fillId="7" borderId="0" xfId="0" applyFont="1" applyFill="1" applyAlignment="1">
      <alignment horizontal="center"/>
    </xf>
    <xf numFmtId="0" fontId="3" fillId="7" borderId="0" xfId="0" applyFont="1" applyFill="1" applyAlignment="1">
      <alignment horizontal="center"/>
    </xf>
    <xf numFmtId="0" fontId="3" fillId="0" borderId="16" xfId="0" applyFont="1" applyBorder="1" applyAlignment="1">
      <alignment horizontal="center"/>
    </xf>
    <xf numFmtId="0" fontId="1" fillId="6" borderId="0" xfId="0" applyFont="1" applyFill="1" applyAlignment="1">
      <alignment horizontal="center" wrapText="1"/>
    </xf>
    <xf numFmtId="0" fontId="1" fillId="7" borderId="0" xfId="0" applyFont="1" applyFill="1" applyAlignment="1">
      <alignment horizontal="center" wrapText="1"/>
    </xf>
    <xf numFmtId="0" fontId="1" fillId="4" borderId="0" xfId="0" applyFont="1" applyFill="1" applyAlignment="1">
      <alignment horizontal="center" wrapText="1"/>
    </xf>
    <xf numFmtId="0" fontId="1" fillId="8" borderId="0" xfId="0" applyFont="1" applyFill="1" applyAlignment="1">
      <alignment horizontal="center" wrapText="1"/>
    </xf>
  </cellXfs>
  <cellStyles count="3">
    <cellStyle name="Lien hypertexte" xfId="1" builtinId="8"/>
    <cellStyle name="Normal" xfId="0" builtinId="0"/>
    <cellStyle name="Pourcentage" xfId="2"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microsoft.com/office/2017/10/relationships/person" Target="persons/person.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ustomXml" Target="../customXml/item2.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ustomXml" Target="../customXml/item1.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alcChain" Target="calcChain.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320" b="1" i="0" u="none" strike="noStrike" kern="1200" spc="0" baseline="0">
                <a:solidFill>
                  <a:sysClr val="windowText" lastClr="000000"/>
                </a:solidFill>
                <a:latin typeface="Arial Narrow" panose="020B0606020202030204" pitchFamily="34" charset="0"/>
                <a:ea typeface="+mn-ea"/>
                <a:cs typeface="+mn-cs"/>
              </a:defRPr>
            </a:pPr>
            <a:r>
              <a:rPr lang="en-CA"/>
              <a:t>Marge bénéficiaire après frais monétaires, moyenne annuelle ($/ha)</a:t>
            </a:r>
          </a:p>
        </c:rich>
      </c:tx>
      <c:overlay val="0"/>
      <c:spPr>
        <a:noFill/>
        <a:ln>
          <a:noFill/>
        </a:ln>
        <a:effectLst/>
      </c:spPr>
      <c:txPr>
        <a:bodyPr rot="0" spcFirstLastPara="1" vertOverflow="ellipsis" vert="horz" wrap="square" anchor="ctr" anchorCtr="1"/>
        <a:lstStyle/>
        <a:p>
          <a:pPr>
            <a:defRPr sz="1320" b="1" i="0" u="none" strike="noStrike" kern="1200" spc="0" baseline="0">
              <a:solidFill>
                <a:sysClr val="windowText" lastClr="000000"/>
              </a:solidFill>
              <a:latin typeface="Arial Narrow" panose="020B0606020202030204" pitchFamily="34" charset="0"/>
              <a:ea typeface="+mn-ea"/>
              <a:cs typeface="+mn-cs"/>
            </a:defRPr>
          </a:pPr>
          <a:endParaRPr lang="fr-FR"/>
        </a:p>
      </c:txPr>
    </c:title>
    <c:autoTitleDeleted val="0"/>
    <c:plotArea>
      <c:layout/>
      <c:lineChart>
        <c:grouping val="standard"/>
        <c:varyColors val="0"/>
        <c:ser>
          <c:idx val="1"/>
          <c:order val="0"/>
          <c:tx>
            <c:strRef>
              <c:f>Résultats_sommaires!$A$3</c:f>
              <c:strCache>
                <c:ptCount val="1"/>
                <c:pt idx="0">
                  <c:v>SOYA-BLÉ D'AUTOMNE PANIFIABLE-MG</c:v>
                </c:pt>
              </c:strCache>
            </c:strRef>
          </c:tx>
          <c:spPr>
            <a:ln w="28575" cap="rnd">
              <a:solidFill>
                <a:schemeClr val="accent2"/>
              </a:solidFill>
              <a:round/>
            </a:ln>
            <a:effectLst/>
          </c:spPr>
          <c:marker>
            <c:symbol val="none"/>
          </c:marker>
          <c:cat>
            <c:strRef>
              <c:f>Résultats_sommaires!$B$2:$D$2</c:f>
              <c:strCache>
                <c:ptCount val="3"/>
                <c:pt idx="0">
                  <c:v>Moyenne annuelle 
Cycle 1</c:v>
                </c:pt>
                <c:pt idx="1">
                  <c:v>Moyenne annuelle 
Cycle 2</c:v>
                </c:pt>
                <c:pt idx="2">
                  <c:v>Moyenne annuelle 
Cycle 3</c:v>
                </c:pt>
              </c:strCache>
            </c:strRef>
          </c:cat>
          <c:val>
            <c:numRef>
              <c:f>Résultats_sommaires!$B$3:$D$3</c:f>
              <c:numCache>
                <c:formatCode>#\ ##0\ "$"</c:formatCode>
                <c:ptCount val="3"/>
                <c:pt idx="0">
                  <c:v>1574.5348200000001</c:v>
                </c:pt>
                <c:pt idx="1">
                  <c:v>1586.2014866666668</c:v>
                </c:pt>
                <c:pt idx="2">
                  <c:v>1597.8681533333336</c:v>
                </c:pt>
              </c:numCache>
            </c:numRef>
          </c:val>
          <c:smooth val="0"/>
          <c:extLst>
            <c:ext xmlns:c16="http://schemas.microsoft.com/office/drawing/2014/chart" uri="{C3380CC4-5D6E-409C-BE32-E72D297353CC}">
              <c16:uniqueId val="{00000001-D2A2-49F7-BACB-36A229F106B0}"/>
            </c:ext>
          </c:extLst>
        </c:ser>
        <c:ser>
          <c:idx val="2"/>
          <c:order val="1"/>
          <c:tx>
            <c:strRef>
              <c:f>Résultats_sommaires!$A$4</c:f>
              <c:strCache>
                <c:ptCount val="1"/>
                <c:pt idx="0">
                  <c:v>SOYA-BLÉ DE PRINTEMPS PANIFIABLE-MG</c:v>
                </c:pt>
              </c:strCache>
            </c:strRef>
          </c:tx>
          <c:spPr>
            <a:ln w="28575" cap="rnd">
              <a:solidFill>
                <a:srgbClr val="7030A0"/>
              </a:solidFill>
              <a:round/>
            </a:ln>
            <a:effectLst/>
          </c:spPr>
          <c:marker>
            <c:symbol val="none"/>
          </c:marker>
          <c:cat>
            <c:strRef>
              <c:f>Résultats_sommaires!$B$2:$D$2</c:f>
              <c:strCache>
                <c:ptCount val="3"/>
                <c:pt idx="0">
                  <c:v>Moyenne annuelle 
Cycle 1</c:v>
                </c:pt>
                <c:pt idx="1">
                  <c:v>Moyenne annuelle 
Cycle 2</c:v>
                </c:pt>
                <c:pt idx="2">
                  <c:v>Moyenne annuelle 
Cycle 3</c:v>
                </c:pt>
              </c:strCache>
            </c:strRef>
          </c:cat>
          <c:val>
            <c:numRef>
              <c:f>Résultats_sommaires!$B$4:$D$4</c:f>
              <c:numCache>
                <c:formatCode>#\ ##0\ "$"</c:formatCode>
                <c:ptCount val="3"/>
                <c:pt idx="0">
                  <c:v>1417.1778533333334</c:v>
                </c:pt>
                <c:pt idx="1">
                  <c:v>1428.8445199999999</c:v>
                </c:pt>
                <c:pt idx="2">
                  <c:v>1440.5111866666666</c:v>
                </c:pt>
              </c:numCache>
            </c:numRef>
          </c:val>
          <c:smooth val="0"/>
          <c:extLst>
            <c:ext xmlns:c16="http://schemas.microsoft.com/office/drawing/2014/chart" uri="{C3380CC4-5D6E-409C-BE32-E72D297353CC}">
              <c16:uniqueId val="{00000002-D2A2-49F7-BACB-36A229F106B0}"/>
            </c:ext>
          </c:extLst>
        </c:ser>
        <c:ser>
          <c:idx val="3"/>
          <c:order val="2"/>
          <c:tx>
            <c:strRef>
              <c:f>Résultats_sommaires!$A$5</c:f>
              <c:strCache>
                <c:ptCount val="1"/>
                <c:pt idx="0">
                  <c:v>SOYA-ORGE-MG</c:v>
                </c:pt>
              </c:strCache>
            </c:strRef>
          </c:tx>
          <c:spPr>
            <a:ln w="28575" cap="rnd">
              <a:solidFill>
                <a:schemeClr val="accent4"/>
              </a:solidFill>
              <a:round/>
            </a:ln>
            <a:effectLst/>
          </c:spPr>
          <c:marker>
            <c:symbol val="none"/>
          </c:marker>
          <c:cat>
            <c:strRef>
              <c:f>Résultats_sommaires!$B$2:$D$2</c:f>
              <c:strCache>
                <c:ptCount val="3"/>
                <c:pt idx="0">
                  <c:v>Moyenne annuelle 
Cycle 1</c:v>
                </c:pt>
                <c:pt idx="1">
                  <c:v>Moyenne annuelle 
Cycle 2</c:v>
                </c:pt>
                <c:pt idx="2">
                  <c:v>Moyenne annuelle 
Cycle 3</c:v>
                </c:pt>
              </c:strCache>
            </c:strRef>
          </c:cat>
          <c:val>
            <c:numRef>
              <c:f>Résultats_sommaires!$B$5:$D$5</c:f>
              <c:numCache>
                <c:formatCode>#\ ##0\ "$"</c:formatCode>
                <c:ptCount val="3"/>
                <c:pt idx="0">
                  <c:v>1515.68452</c:v>
                </c:pt>
                <c:pt idx="1">
                  <c:v>1527.3511866666668</c:v>
                </c:pt>
                <c:pt idx="2">
                  <c:v>1539.0178533333335</c:v>
                </c:pt>
              </c:numCache>
            </c:numRef>
          </c:val>
          <c:smooth val="0"/>
          <c:extLst>
            <c:ext xmlns:c16="http://schemas.microsoft.com/office/drawing/2014/chart" uri="{C3380CC4-5D6E-409C-BE32-E72D297353CC}">
              <c16:uniqueId val="{00000003-D2A2-49F7-BACB-36A229F106B0}"/>
            </c:ext>
          </c:extLst>
        </c:ser>
        <c:ser>
          <c:idx val="4"/>
          <c:order val="3"/>
          <c:tx>
            <c:strRef>
              <c:f>Résultats_sommaires!$A$6</c:f>
              <c:strCache>
                <c:ptCount val="1"/>
                <c:pt idx="0">
                  <c:v>SOYA-AVOINE-MG</c:v>
                </c:pt>
              </c:strCache>
            </c:strRef>
          </c:tx>
          <c:spPr>
            <a:ln w="28575" cap="rnd">
              <a:solidFill>
                <a:schemeClr val="accent5"/>
              </a:solidFill>
              <a:round/>
            </a:ln>
            <a:effectLst/>
          </c:spPr>
          <c:marker>
            <c:symbol val="none"/>
          </c:marker>
          <c:cat>
            <c:strRef>
              <c:f>Résultats_sommaires!$B$2:$D$2</c:f>
              <c:strCache>
                <c:ptCount val="3"/>
                <c:pt idx="0">
                  <c:v>Moyenne annuelle 
Cycle 1</c:v>
                </c:pt>
                <c:pt idx="1">
                  <c:v>Moyenne annuelle 
Cycle 2</c:v>
                </c:pt>
                <c:pt idx="2">
                  <c:v>Moyenne annuelle 
Cycle 3</c:v>
                </c:pt>
              </c:strCache>
            </c:strRef>
          </c:cat>
          <c:val>
            <c:numRef>
              <c:f>Résultats_sommaires!$B$6:$D$6</c:f>
              <c:numCache>
                <c:formatCode>#\ ##0\ "$"</c:formatCode>
                <c:ptCount val="3"/>
                <c:pt idx="0">
                  <c:v>1282.1911866666667</c:v>
                </c:pt>
                <c:pt idx="1">
                  <c:v>1293.8578533333332</c:v>
                </c:pt>
                <c:pt idx="2">
                  <c:v>1305.5245199999999</c:v>
                </c:pt>
              </c:numCache>
            </c:numRef>
          </c:val>
          <c:smooth val="0"/>
          <c:extLst>
            <c:ext xmlns:c16="http://schemas.microsoft.com/office/drawing/2014/chart" uri="{C3380CC4-5D6E-409C-BE32-E72D297353CC}">
              <c16:uniqueId val="{00000004-D2A2-49F7-BACB-36A229F106B0}"/>
            </c:ext>
          </c:extLst>
        </c:ser>
        <c:ser>
          <c:idx val="5"/>
          <c:order val="4"/>
          <c:tx>
            <c:strRef>
              <c:f>Résultats_sommaires!$A$7</c:f>
              <c:strCache>
                <c:ptCount val="1"/>
                <c:pt idx="0">
                  <c:v>SOYA-SEIGLE-MG</c:v>
                </c:pt>
              </c:strCache>
            </c:strRef>
          </c:tx>
          <c:spPr>
            <a:ln w="28575" cap="rnd">
              <a:solidFill>
                <a:schemeClr val="accent6"/>
              </a:solidFill>
              <a:round/>
            </a:ln>
            <a:effectLst/>
          </c:spPr>
          <c:marker>
            <c:symbol val="none"/>
          </c:marker>
          <c:cat>
            <c:strRef>
              <c:f>Résultats_sommaires!$B$2:$D$2</c:f>
              <c:strCache>
                <c:ptCount val="3"/>
                <c:pt idx="0">
                  <c:v>Moyenne annuelle 
Cycle 1</c:v>
                </c:pt>
                <c:pt idx="1">
                  <c:v>Moyenne annuelle 
Cycle 2</c:v>
                </c:pt>
                <c:pt idx="2">
                  <c:v>Moyenne annuelle 
Cycle 3</c:v>
                </c:pt>
              </c:strCache>
            </c:strRef>
          </c:cat>
          <c:val>
            <c:numRef>
              <c:f>Résultats_sommaires!$B$7:$D$7</c:f>
              <c:numCache>
                <c:formatCode>#\ ##0\ "$"</c:formatCode>
                <c:ptCount val="3"/>
                <c:pt idx="0">
                  <c:v>1410.7898266666664</c:v>
                </c:pt>
                <c:pt idx="1">
                  <c:v>1422.4564933333331</c:v>
                </c:pt>
                <c:pt idx="2">
                  <c:v>1434.1231599999999</c:v>
                </c:pt>
              </c:numCache>
            </c:numRef>
          </c:val>
          <c:smooth val="0"/>
          <c:extLst>
            <c:ext xmlns:c16="http://schemas.microsoft.com/office/drawing/2014/chart" uri="{C3380CC4-5D6E-409C-BE32-E72D297353CC}">
              <c16:uniqueId val="{00000005-D2A2-49F7-BACB-36A229F106B0}"/>
            </c:ext>
          </c:extLst>
        </c:ser>
        <c:ser>
          <c:idx val="6"/>
          <c:order val="5"/>
          <c:tx>
            <c:strRef>
              <c:f>Résultats_sommaires!$A$8</c:f>
              <c:strCache>
                <c:ptCount val="1"/>
                <c:pt idx="0">
                  <c:v>SOYA-SEIGLE HYBRIDE D'AUTOMNE-MG</c:v>
                </c:pt>
              </c:strCache>
            </c:strRef>
          </c:tx>
          <c:spPr>
            <a:ln w="28575" cap="rnd">
              <a:solidFill>
                <a:schemeClr val="accent1">
                  <a:lumMod val="60000"/>
                </a:schemeClr>
              </a:solidFill>
              <a:round/>
            </a:ln>
            <a:effectLst/>
          </c:spPr>
          <c:marker>
            <c:symbol val="none"/>
          </c:marker>
          <c:cat>
            <c:strRef>
              <c:f>Résultats_sommaires!$B$2:$D$2</c:f>
              <c:strCache>
                <c:ptCount val="3"/>
                <c:pt idx="0">
                  <c:v>Moyenne annuelle 
Cycle 1</c:v>
                </c:pt>
                <c:pt idx="1">
                  <c:v>Moyenne annuelle 
Cycle 2</c:v>
                </c:pt>
                <c:pt idx="2">
                  <c:v>Moyenne annuelle 
Cycle 3</c:v>
                </c:pt>
              </c:strCache>
            </c:strRef>
          </c:cat>
          <c:val>
            <c:numRef>
              <c:f>Résultats_sommaires!$B$8:$D$8</c:f>
              <c:numCache>
                <c:formatCode>#\ ##0\ "$"</c:formatCode>
                <c:ptCount val="3"/>
                <c:pt idx="0">
                  <c:v>1681.1651333333332</c:v>
                </c:pt>
                <c:pt idx="1">
                  <c:v>1692.8317999999999</c:v>
                </c:pt>
                <c:pt idx="2">
                  <c:v>1704.4984666666667</c:v>
                </c:pt>
              </c:numCache>
            </c:numRef>
          </c:val>
          <c:smooth val="0"/>
          <c:extLst>
            <c:ext xmlns:c16="http://schemas.microsoft.com/office/drawing/2014/chart" uri="{C3380CC4-5D6E-409C-BE32-E72D297353CC}">
              <c16:uniqueId val="{00000006-D2A2-49F7-BACB-36A229F106B0}"/>
            </c:ext>
          </c:extLst>
        </c:ser>
        <c:dLbls>
          <c:showLegendKey val="0"/>
          <c:showVal val="0"/>
          <c:showCatName val="0"/>
          <c:showSerName val="0"/>
          <c:showPercent val="0"/>
          <c:showBubbleSize val="0"/>
        </c:dLbls>
        <c:smooth val="0"/>
        <c:axId val="642569672"/>
        <c:axId val="642565408"/>
      </c:lineChart>
      <c:catAx>
        <c:axId val="642569672"/>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100" b="1" i="0" u="none" strike="noStrike" kern="1200" baseline="0">
                <a:solidFill>
                  <a:sysClr val="windowText" lastClr="000000"/>
                </a:solidFill>
                <a:latin typeface="Arial Narrow" panose="020B0606020202030204" pitchFamily="34" charset="0"/>
                <a:ea typeface="+mn-ea"/>
                <a:cs typeface="+mn-cs"/>
              </a:defRPr>
            </a:pPr>
            <a:endParaRPr lang="fr-FR"/>
          </a:p>
        </c:txPr>
        <c:crossAx val="642565408"/>
        <c:crosses val="autoZero"/>
        <c:auto val="1"/>
        <c:lblAlgn val="ctr"/>
        <c:lblOffset val="100"/>
        <c:noMultiLvlLbl val="0"/>
      </c:catAx>
      <c:valAx>
        <c:axId val="642565408"/>
        <c:scaling>
          <c:orientation val="minMax"/>
          <c:min val="500"/>
        </c:scaling>
        <c:delete val="0"/>
        <c:axPos val="l"/>
        <c:majorGridlines>
          <c:spPr>
            <a:ln w="9525" cap="flat" cmpd="sng" algn="ctr">
              <a:solidFill>
                <a:schemeClr val="tx1">
                  <a:lumMod val="15000"/>
                  <a:lumOff val="85000"/>
                </a:schemeClr>
              </a:solidFill>
              <a:round/>
            </a:ln>
            <a:effectLst/>
          </c:spPr>
        </c:majorGridlines>
        <c:numFmt formatCode="&quot;$&quot;#,##0" sourceLinked="0"/>
        <c:majorTickMark val="none"/>
        <c:minorTickMark val="none"/>
        <c:tickLblPos val="nextTo"/>
        <c:spPr>
          <a:noFill/>
          <a:ln>
            <a:noFill/>
          </a:ln>
          <a:effectLst/>
        </c:spPr>
        <c:txPr>
          <a:bodyPr rot="-60000000" spcFirstLastPara="1" vertOverflow="ellipsis" vert="horz" wrap="square" anchor="ctr" anchorCtr="1"/>
          <a:lstStyle/>
          <a:p>
            <a:pPr>
              <a:defRPr sz="1100" b="1" i="0" u="none" strike="noStrike" kern="1200" baseline="0">
                <a:solidFill>
                  <a:sysClr val="windowText" lastClr="000000"/>
                </a:solidFill>
                <a:latin typeface="Arial Narrow" panose="020B0606020202030204" pitchFamily="34" charset="0"/>
                <a:ea typeface="+mn-ea"/>
                <a:cs typeface="+mn-cs"/>
              </a:defRPr>
            </a:pPr>
            <a:endParaRPr lang="fr-FR"/>
          </a:p>
        </c:txPr>
        <c:crossAx val="642569672"/>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1100" b="1" i="0" u="none" strike="noStrike" kern="1200" baseline="0">
              <a:solidFill>
                <a:sysClr val="windowText" lastClr="000000"/>
              </a:solidFill>
              <a:latin typeface="Arial Narrow" panose="020B0606020202030204" pitchFamily="34" charset="0"/>
              <a:ea typeface="+mn-ea"/>
              <a:cs typeface="+mn-cs"/>
            </a:defRPr>
          </a:pPr>
          <a:endParaRPr lang="fr-FR"/>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12700" cap="flat" cmpd="sng" algn="ctr">
      <a:solidFill>
        <a:schemeClr val="tx1"/>
      </a:solidFill>
      <a:round/>
    </a:ln>
    <a:effectLst/>
  </c:spPr>
  <c:txPr>
    <a:bodyPr/>
    <a:lstStyle/>
    <a:p>
      <a:pPr>
        <a:defRPr sz="1100" b="1">
          <a:solidFill>
            <a:sysClr val="windowText" lastClr="000000"/>
          </a:solidFill>
          <a:latin typeface="Arial Narrow" panose="020B0606020202030204" pitchFamily="34" charset="0"/>
        </a:defRPr>
      </a:pPr>
      <a:endParaRPr lang="fr-F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320" b="1" i="0" u="none" strike="noStrike" kern="1200" spc="0" baseline="0">
                <a:solidFill>
                  <a:sysClr val="windowText" lastClr="000000"/>
                </a:solidFill>
                <a:latin typeface="+mn-lt"/>
                <a:ea typeface="+mn-ea"/>
                <a:cs typeface="+mn-cs"/>
              </a:defRPr>
            </a:pPr>
            <a:r>
              <a:rPr lang="en-CA"/>
              <a:t>Marge bénéficiaire après amortissement et rémunération du travail, moyenne annuelle ($/ha)</a:t>
            </a:r>
          </a:p>
        </c:rich>
      </c:tx>
      <c:overlay val="0"/>
      <c:spPr>
        <a:noFill/>
        <a:ln>
          <a:noFill/>
        </a:ln>
        <a:effectLst/>
      </c:spPr>
      <c:txPr>
        <a:bodyPr rot="0" spcFirstLastPara="1" vertOverflow="ellipsis" vert="horz" wrap="square" anchor="ctr" anchorCtr="1"/>
        <a:lstStyle/>
        <a:p>
          <a:pPr>
            <a:defRPr sz="1320" b="1" i="0" u="none" strike="noStrike" kern="1200" spc="0" baseline="0">
              <a:solidFill>
                <a:sysClr val="windowText" lastClr="000000"/>
              </a:solidFill>
              <a:latin typeface="+mn-lt"/>
              <a:ea typeface="+mn-ea"/>
              <a:cs typeface="+mn-cs"/>
            </a:defRPr>
          </a:pPr>
          <a:endParaRPr lang="fr-FR"/>
        </a:p>
      </c:txPr>
    </c:title>
    <c:autoTitleDeleted val="0"/>
    <c:plotArea>
      <c:layout/>
      <c:lineChart>
        <c:grouping val="standard"/>
        <c:varyColors val="0"/>
        <c:ser>
          <c:idx val="1"/>
          <c:order val="0"/>
          <c:tx>
            <c:strRef>
              <c:f>Résultats_sommaires!$A$24</c:f>
              <c:strCache>
                <c:ptCount val="1"/>
                <c:pt idx="0">
                  <c:v>SOYA-BLÉ D'AUTOMNE PANIFIABLE-MG</c:v>
                </c:pt>
              </c:strCache>
            </c:strRef>
          </c:tx>
          <c:spPr>
            <a:ln w="28575" cap="rnd">
              <a:solidFill>
                <a:schemeClr val="accent2"/>
              </a:solidFill>
              <a:round/>
            </a:ln>
            <a:effectLst/>
          </c:spPr>
          <c:marker>
            <c:symbol val="none"/>
          </c:marker>
          <c:cat>
            <c:strRef>
              <c:f>Résultats_sommaires!$B$23:$D$23</c:f>
              <c:strCache>
                <c:ptCount val="3"/>
                <c:pt idx="0">
                  <c:v>Moyenne annuelle 
Cycle 1</c:v>
                </c:pt>
                <c:pt idx="1">
                  <c:v>Moyenne annuelle 
Cycle 2</c:v>
                </c:pt>
                <c:pt idx="2">
                  <c:v>Moyenne annuelle 
Cycle 3</c:v>
                </c:pt>
              </c:strCache>
            </c:strRef>
          </c:cat>
          <c:val>
            <c:numRef>
              <c:f>Résultats_sommaires!$B$24:$D$24</c:f>
              <c:numCache>
                <c:formatCode>#\ ##0\ "$"</c:formatCode>
                <c:ptCount val="3"/>
                <c:pt idx="0">
                  <c:v>848.33815333333314</c:v>
                </c:pt>
                <c:pt idx="1">
                  <c:v>860.00481999999977</c:v>
                </c:pt>
                <c:pt idx="2">
                  <c:v>871.67148666666651</c:v>
                </c:pt>
              </c:numCache>
            </c:numRef>
          </c:val>
          <c:smooth val="0"/>
          <c:extLst>
            <c:ext xmlns:c16="http://schemas.microsoft.com/office/drawing/2014/chart" uri="{C3380CC4-5D6E-409C-BE32-E72D297353CC}">
              <c16:uniqueId val="{00000001-7F11-4B29-8C09-8786A13ABF34}"/>
            </c:ext>
          </c:extLst>
        </c:ser>
        <c:ser>
          <c:idx val="2"/>
          <c:order val="1"/>
          <c:tx>
            <c:strRef>
              <c:f>Résultats_sommaires!$A$25</c:f>
              <c:strCache>
                <c:ptCount val="1"/>
                <c:pt idx="0">
                  <c:v>SOYA-BLÉ DE PRINTEMPS PANIFIABLE-MG</c:v>
                </c:pt>
              </c:strCache>
            </c:strRef>
          </c:tx>
          <c:spPr>
            <a:ln w="28575" cap="rnd">
              <a:solidFill>
                <a:srgbClr val="7030A0"/>
              </a:solidFill>
              <a:round/>
            </a:ln>
            <a:effectLst/>
          </c:spPr>
          <c:marker>
            <c:symbol val="none"/>
          </c:marker>
          <c:cat>
            <c:strRef>
              <c:f>Résultats_sommaires!$B$23:$D$23</c:f>
              <c:strCache>
                <c:ptCount val="3"/>
                <c:pt idx="0">
                  <c:v>Moyenne annuelle 
Cycle 1</c:v>
                </c:pt>
                <c:pt idx="1">
                  <c:v>Moyenne annuelle 
Cycle 2</c:v>
                </c:pt>
                <c:pt idx="2">
                  <c:v>Moyenne annuelle 
Cycle 3</c:v>
                </c:pt>
              </c:strCache>
            </c:strRef>
          </c:cat>
          <c:val>
            <c:numRef>
              <c:f>Résultats_sommaires!$B$25:$D$25</c:f>
              <c:numCache>
                <c:formatCode>#\ ##0\ "$"</c:formatCode>
                <c:ptCount val="3"/>
                <c:pt idx="0">
                  <c:v>690.98118666666653</c:v>
                </c:pt>
                <c:pt idx="1">
                  <c:v>702.64785333333327</c:v>
                </c:pt>
                <c:pt idx="2">
                  <c:v>714.3145199999999</c:v>
                </c:pt>
              </c:numCache>
            </c:numRef>
          </c:val>
          <c:smooth val="0"/>
          <c:extLst>
            <c:ext xmlns:c16="http://schemas.microsoft.com/office/drawing/2014/chart" uri="{C3380CC4-5D6E-409C-BE32-E72D297353CC}">
              <c16:uniqueId val="{00000002-7F11-4B29-8C09-8786A13ABF34}"/>
            </c:ext>
          </c:extLst>
        </c:ser>
        <c:ser>
          <c:idx val="3"/>
          <c:order val="2"/>
          <c:tx>
            <c:strRef>
              <c:f>Résultats_sommaires!$A$26</c:f>
              <c:strCache>
                <c:ptCount val="1"/>
                <c:pt idx="0">
                  <c:v>SOYA-ORGE-MG</c:v>
                </c:pt>
              </c:strCache>
            </c:strRef>
          </c:tx>
          <c:spPr>
            <a:ln w="28575" cap="rnd">
              <a:solidFill>
                <a:schemeClr val="accent4"/>
              </a:solidFill>
              <a:round/>
            </a:ln>
            <a:effectLst/>
          </c:spPr>
          <c:marker>
            <c:symbol val="none"/>
          </c:marker>
          <c:cat>
            <c:strRef>
              <c:f>Résultats_sommaires!$B$23:$D$23</c:f>
              <c:strCache>
                <c:ptCount val="3"/>
                <c:pt idx="0">
                  <c:v>Moyenne annuelle 
Cycle 1</c:v>
                </c:pt>
                <c:pt idx="1">
                  <c:v>Moyenne annuelle 
Cycle 2</c:v>
                </c:pt>
                <c:pt idx="2">
                  <c:v>Moyenne annuelle 
Cycle 3</c:v>
                </c:pt>
              </c:strCache>
            </c:strRef>
          </c:cat>
          <c:val>
            <c:numRef>
              <c:f>Résultats_sommaires!$B$26:$D$26</c:f>
              <c:numCache>
                <c:formatCode>#\ ##0\ "$"</c:formatCode>
                <c:ptCount val="3"/>
                <c:pt idx="0">
                  <c:v>788.67118666666659</c:v>
                </c:pt>
                <c:pt idx="1">
                  <c:v>800.33785333333333</c:v>
                </c:pt>
                <c:pt idx="2">
                  <c:v>812.00451999999996</c:v>
                </c:pt>
              </c:numCache>
            </c:numRef>
          </c:val>
          <c:smooth val="0"/>
          <c:extLst>
            <c:ext xmlns:c16="http://schemas.microsoft.com/office/drawing/2014/chart" uri="{C3380CC4-5D6E-409C-BE32-E72D297353CC}">
              <c16:uniqueId val="{00000003-7F11-4B29-8C09-8786A13ABF34}"/>
            </c:ext>
          </c:extLst>
        </c:ser>
        <c:ser>
          <c:idx val="4"/>
          <c:order val="3"/>
          <c:tx>
            <c:strRef>
              <c:f>Résultats_sommaires!$A$27</c:f>
              <c:strCache>
                <c:ptCount val="1"/>
                <c:pt idx="0">
                  <c:v>SOYA-AVOINE-MG</c:v>
                </c:pt>
              </c:strCache>
            </c:strRef>
          </c:tx>
          <c:spPr>
            <a:ln w="28575" cap="rnd">
              <a:solidFill>
                <a:schemeClr val="accent5"/>
              </a:solidFill>
              <a:round/>
            </a:ln>
            <a:effectLst/>
          </c:spPr>
          <c:marker>
            <c:symbol val="none"/>
          </c:marker>
          <c:cat>
            <c:strRef>
              <c:f>Résultats_sommaires!$B$23:$D$23</c:f>
              <c:strCache>
                <c:ptCount val="3"/>
                <c:pt idx="0">
                  <c:v>Moyenne annuelle 
Cycle 1</c:v>
                </c:pt>
                <c:pt idx="1">
                  <c:v>Moyenne annuelle 
Cycle 2</c:v>
                </c:pt>
                <c:pt idx="2">
                  <c:v>Moyenne annuelle 
Cycle 3</c:v>
                </c:pt>
              </c:strCache>
            </c:strRef>
          </c:cat>
          <c:val>
            <c:numRef>
              <c:f>Résultats_sommaires!$B$27:$D$27</c:f>
              <c:numCache>
                <c:formatCode>#\ ##0\ "$"</c:formatCode>
                <c:ptCount val="3"/>
                <c:pt idx="0">
                  <c:v>587.74451999999997</c:v>
                </c:pt>
                <c:pt idx="1">
                  <c:v>599.41118666666659</c:v>
                </c:pt>
                <c:pt idx="2">
                  <c:v>611.07785333333334</c:v>
                </c:pt>
              </c:numCache>
            </c:numRef>
          </c:val>
          <c:smooth val="0"/>
          <c:extLst>
            <c:ext xmlns:c16="http://schemas.microsoft.com/office/drawing/2014/chart" uri="{C3380CC4-5D6E-409C-BE32-E72D297353CC}">
              <c16:uniqueId val="{00000004-7F11-4B29-8C09-8786A13ABF34}"/>
            </c:ext>
          </c:extLst>
        </c:ser>
        <c:ser>
          <c:idx val="5"/>
          <c:order val="4"/>
          <c:tx>
            <c:strRef>
              <c:f>Résultats_sommaires!$A$28</c:f>
              <c:strCache>
                <c:ptCount val="1"/>
                <c:pt idx="0">
                  <c:v>SOYA-SEIGLE-MG</c:v>
                </c:pt>
              </c:strCache>
            </c:strRef>
          </c:tx>
          <c:spPr>
            <a:ln w="28575" cap="rnd">
              <a:solidFill>
                <a:schemeClr val="accent6"/>
              </a:solidFill>
              <a:round/>
            </a:ln>
            <a:effectLst/>
          </c:spPr>
          <c:marker>
            <c:symbol val="none"/>
          </c:marker>
          <c:cat>
            <c:strRef>
              <c:f>Résultats_sommaires!$B$23:$D$23</c:f>
              <c:strCache>
                <c:ptCount val="3"/>
                <c:pt idx="0">
                  <c:v>Moyenne annuelle 
Cycle 1</c:v>
                </c:pt>
                <c:pt idx="1">
                  <c:v>Moyenne annuelle 
Cycle 2</c:v>
                </c:pt>
                <c:pt idx="2">
                  <c:v>Moyenne annuelle 
Cycle 3</c:v>
                </c:pt>
              </c:strCache>
            </c:strRef>
          </c:cat>
          <c:val>
            <c:numRef>
              <c:f>Résultats_sommaires!$B$28:$D$28</c:f>
              <c:numCache>
                <c:formatCode>#\ ##0\ "$"</c:formatCode>
                <c:ptCount val="3"/>
                <c:pt idx="0">
                  <c:v>695.67315999999994</c:v>
                </c:pt>
                <c:pt idx="1">
                  <c:v>707.33982666666668</c:v>
                </c:pt>
                <c:pt idx="2">
                  <c:v>719.00649333333331</c:v>
                </c:pt>
              </c:numCache>
            </c:numRef>
          </c:val>
          <c:smooth val="0"/>
          <c:extLst>
            <c:ext xmlns:c16="http://schemas.microsoft.com/office/drawing/2014/chart" uri="{C3380CC4-5D6E-409C-BE32-E72D297353CC}">
              <c16:uniqueId val="{00000005-7F11-4B29-8C09-8786A13ABF34}"/>
            </c:ext>
          </c:extLst>
        </c:ser>
        <c:ser>
          <c:idx val="6"/>
          <c:order val="5"/>
          <c:tx>
            <c:strRef>
              <c:f>Résultats_sommaires!$A$29</c:f>
              <c:strCache>
                <c:ptCount val="1"/>
                <c:pt idx="0">
                  <c:v>SOYA-SEIGLE HYBRIDE D'AUTOMNE-MG</c:v>
                </c:pt>
              </c:strCache>
            </c:strRef>
          </c:tx>
          <c:spPr>
            <a:ln w="28575" cap="rnd">
              <a:solidFill>
                <a:schemeClr val="accent1">
                  <a:lumMod val="60000"/>
                </a:schemeClr>
              </a:solidFill>
              <a:round/>
            </a:ln>
            <a:effectLst/>
          </c:spPr>
          <c:marker>
            <c:symbol val="none"/>
          </c:marker>
          <c:cat>
            <c:strRef>
              <c:f>Résultats_sommaires!$B$23:$D$23</c:f>
              <c:strCache>
                <c:ptCount val="3"/>
                <c:pt idx="0">
                  <c:v>Moyenne annuelle 
Cycle 1</c:v>
                </c:pt>
                <c:pt idx="1">
                  <c:v>Moyenne annuelle 
Cycle 2</c:v>
                </c:pt>
                <c:pt idx="2">
                  <c:v>Moyenne annuelle 
Cycle 3</c:v>
                </c:pt>
              </c:strCache>
            </c:strRef>
          </c:cat>
          <c:val>
            <c:numRef>
              <c:f>Résultats_sommaires!$B$29:$D$29</c:f>
              <c:numCache>
                <c:formatCode>#\ ##0\ "$"</c:formatCode>
                <c:ptCount val="3"/>
                <c:pt idx="0">
                  <c:v>966.04846666666651</c:v>
                </c:pt>
                <c:pt idx="1">
                  <c:v>977.71513333333314</c:v>
                </c:pt>
                <c:pt idx="2">
                  <c:v>989.38179999999977</c:v>
                </c:pt>
              </c:numCache>
            </c:numRef>
          </c:val>
          <c:smooth val="0"/>
          <c:extLst>
            <c:ext xmlns:c16="http://schemas.microsoft.com/office/drawing/2014/chart" uri="{C3380CC4-5D6E-409C-BE32-E72D297353CC}">
              <c16:uniqueId val="{00000006-7F11-4B29-8C09-8786A13ABF34}"/>
            </c:ext>
          </c:extLst>
        </c:ser>
        <c:dLbls>
          <c:showLegendKey val="0"/>
          <c:showVal val="0"/>
          <c:showCatName val="0"/>
          <c:showSerName val="0"/>
          <c:showPercent val="0"/>
          <c:showBubbleSize val="0"/>
        </c:dLbls>
        <c:smooth val="0"/>
        <c:axId val="638061896"/>
        <c:axId val="638062552"/>
      </c:lineChart>
      <c:catAx>
        <c:axId val="63806189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100" b="1" i="0" u="none" strike="noStrike" kern="1200" baseline="0">
                <a:solidFill>
                  <a:sysClr val="windowText" lastClr="000000"/>
                </a:solidFill>
                <a:latin typeface="+mn-lt"/>
                <a:ea typeface="+mn-ea"/>
                <a:cs typeface="+mn-cs"/>
              </a:defRPr>
            </a:pPr>
            <a:endParaRPr lang="fr-FR"/>
          </a:p>
        </c:txPr>
        <c:crossAx val="638062552"/>
        <c:crosses val="autoZero"/>
        <c:auto val="1"/>
        <c:lblAlgn val="ctr"/>
        <c:lblOffset val="100"/>
        <c:noMultiLvlLbl val="0"/>
      </c:catAx>
      <c:valAx>
        <c:axId val="638062552"/>
        <c:scaling>
          <c:orientation val="minMax"/>
          <c:min val="250"/>
        </c:scaling>
        <c:delete val="0"/>
        <c:axPos val="l"/>
        <c:majorGridlines>
          <c:spPr>
            <a:ln w="9525" cap="flat" cmpd="sng" algn="ctr">
              <a:solidFill>
                <a:schemeClr val="tx1">
                  <a:lumMod val="15000"/>
                  <a:lumOff val="85000"/>
                </a:schemeClr>
              </a:solidFill>
              <a:round/>
            </a:ln>
            <a:effectLst/>
          </c:spPr>
        </c:majorGridlines>
        <c:numFmt formatCode="&quot;$&quot;#,##0" sourceLinked="0"/>
        <c:majorTickMark val="none"/>
        <c:minorTickMark val="none"/>
        <c:tickLblPos val="nextTo"/>
        <c:spPr>
          <a:noFill/>
          <a:ln>
            <a:noFill/>
          </a:ln>
          <a:effectLst/>
        </c:spPr>
        <c:txPr>
          <a:bodyPr rot="-60000000" spcFirstLastPara="1" vertOverflow="ellipsis" vert="horz" wrap="square" anchor="ctr" anchorCtr="1"/>
          <a:lstStyle/>
          <a:p>
            <a:pPr>
              <a:defRPr sz="1100" b="1" i="0" u="none" strike="noStrike" kern="1200" baseline="0">
                <a:solidFill>
                  <a:sysClr val="windowText" lastClr="000000"/>
                </a:solidFill>
                <a:latin typeface="+mn-lt"/>
                <a:ea typeface="+mn-ea"/>
                <a:cs typeface="+mn-cs"/>
              </a:defRPr>
            </a:pPr>
            <a:endParaRPr lang="fr-FR"/>
          </a:p>
        </c:txPr>
        <c:crossAx val="638061896"/>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1100" b="1" i="0" u="none" strike="noStrike" kern="1200" baseline="0">
              <a:solidFill>
                <a:sysClr val="windowText" lastClr="000000"/>
              </a:solidFill>
              <a:latin typeface="+mn-lt"/>
              <a:ea typeface="+mn-ea"/>
              <a:cs typeface="+mn-cs"/>
            </a:defRPr>
          </a:pPr>
          <a:endParaRPr lang="fr-FR"/>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100" b="1">
          <a:solidFill>
            <a:sysClr val="windowText" lastClr="000000"/>
          </a:solidFill>
        </a:defRPr>
      </a:pPr>
      <a:endParaRPr lang="fr-FR"/>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320" b="1" i="0" u="none" strike="noStrike" kern="1200" spc="0" baseline="0">
                <a:solidFill>
                  <a:sysClr val="windowText" lastClr="000000"/>
                </a:solidFill>
                <a:latin typeface="+mn-lt"/>
                <a:ea typeface="+mn-ea"/>
                <a:cs typeface="+mn-cs"/>
              </a:defRPr>
            </a:pPr>
            <a:r>
              <a:rPr lang="en-CA"/>
              <a:t>Marge bénéficiaire après frais monétaires de votre ferme, moyenne annuelle ($/ha)</a:t>
            </a:r>
          </a:p>
        </c:rich>
      </c:tx>
      <c:overlay val="0"/>
      <c:spPr>
        <a:noFill/>
        <a:ln>
          <a:noFill/>
        </a:ln>
        <a:effectLst/>
      </c:spPr>
      <c:txPr>
        <a:bodyPr rot="0" spcFirstLastPara="1" vertOverflow="ellipsis" vert="horz" wrap="square" anchor="ctr" anchorCtr="1"/>
        <a:lstStyle/>
        <a:p>
          <a:pPr>
            <a:defRPr sz="1320" b="1" i="0" u="none" strike="noStrike" kern="1200" spc="0" baseline="0">
              <a:solidFill>
                <a:sysClr val="windowText" lastClr="000000"/>
              </a:solidFill>
              <a:latin typeface="+mn-lt"/>
              <a:ea typeface="+mn-ea"/>
              <a:cs typeface="+mn-cs"/>
            </a:defRPr>
          </a:pPr>
          <a:endParaRPr lang="fr-FR"/>
        </a:p>
      </c:txPr>
    </c:title>
    <c:autoTitleDeleted val="0"/>
    <c:plotArea>
      <c:layout/>
      <c:lineChart>
        <c:grouping val="standard"/>
        <c:varyColors val="0"/>
        <c:ser>
          <c:idx val="1"/>
          <c:order val="0"/>
          <c:tx>
            <c:strRef>
              <c:f>Résultats_sommaires!$N$3</c:f>
              <c:strCache>
                <c:ptCount val="1"/>
                <c:pt idx="0">
                  <c:v>SOYA-BLÉ D'AUTOMNE PANIFIABLE-MG</c:v>
                </c:pt>
              </c:strCache>
            </c:strRef>
          </c:tx>
          <c:spPr>
            <a:ln w="28575" cap="rnd">
              <a:solidFill>
                <a:schemeClr val="accent2"/>
              </a:solidFill>
              <a:round/>
            </a:ln>
            <a:effectLst/>
          </c:spPr>
          <c:marker>
            <c:symbol val="none"/>
          </c:marker>
          <c:cat>
            <c:strRef>
              <c:f>Résultats_sommaires!$O$2:$Q$2</c:f>
              <c:strCache>
                <c:ptCount val="3"/>
                <c:pt idx="0">
                  <c:v>Moyenne annuelle 
Cycle 1</c:v>
                </c:pt>
                <c:pt idx="1">
                  <c:v>Moyenne annuelle 
Cycle 2</c:v>
                </c:pt>
                <c:pt idx="2">
                  <c:v>Moyenne annuelle 
Cycle 3</c:v>
                </c:pt>
              </c:strCache>
            </c:strRef>
          </c:cat>
          <c:val>
            <c:numRef>
              <c:f>Résultats_sommaires!$O$3:$Q$3</c:f>
              <c:numCache>
                <c:formatCode>#\ ##0\ "$"</c:formatCode>
                <c:ptCount val="3"/>
                <c:pt idx="0">
                  <c:v>1574.5348200000001</c:v>
                </c:pt>
                <c:pt idx="1">
                  <c:v>1586.2014866666668</c:v>
                </c:pt>
                <c:pt idx="2">
                  <c:v>1597.8681533333336</c:v>
                </c:pt>
              </c:numCache>
            </c:numRef>
          </c:val>
          <c:smooth val="0"/>
          <c:extLst>
            <c:ext xmlns:c16="http://schemas.microsoft.com/office/drawing/2014/chart" uri="{C3380CC4-5D6E-409C-BE32-E72D297353CC}">
              <c16:uniqueId val="{00000001-C3A8-4D9D-8369-35A05A325E69}"/>
            </c:ext>
          </c:extLst>
        </c:ser>
        <c:ser>
          <c:idx val="2"/>
          <c:order val="1"/>
          <c:tx>
            <c:strRef>
              <c:f>Résultats_sommaires!$N$4</c:f>
              <c:strCache>
                <c:ptCount val="1"/>
                <c:pt idx="0">
                  <c:v>SOYA-BLÉ DE PRINTEMPS PANIFIABLE-MG</c:v>
                </c:pt>
              </c:strCache>
            </c:strRef>
          </c:tx>
          <c:spPr>
            <a:ln w="28575" cap="rnd">
              <a:solidFill>
                <a:srgbClr val="7030A0"/>
              </a:solidFill>
              <a:round/>
            </a:ln>
            <a:effectLst/>
          </c:spPr>
          <c:marker>
            <c:symbol val="none"/>
          </c:marker>
          <c:cat>
            <c:strRef>
              <c:f>Résultats_sommaires!$O$2:$Q$2</c:f>
              <c:strCache>
                <c:ptCount val="3"/>
                <c:pt idx="0">
                  <c:v>Moyenne annuelle 
Cycle 1</c:v>
                </c:pt>
                <c:pt idx="1">
                  <c:v>Moyenne annuelle 
Cycle 2</c:v>
                </c:pt>
                <c:pt idx="2">
                  <c:v>Moyenne annuelle 
Cycle 3</c:v>
                </c:pt>
              </c:strCache>
            </c:strRef>
          </c:cat>
          <c:val>
            <c:numRef>
              <c:f>Résultats_sommaires!$O$4:$Q$4</c:f>
              <c:numCache>
                <c:formatCode>#\ ##0\ "$"</c:formatCode>
                <c:ptCount val="3"/>
                <c:pt idx="0">
                  <c:v>1417.1778533333334</c:v>
                </c:pt>
                <c:pt idx="1">
                  <c:v>1428.8445199999999</c:v>
                </c:pt>
                <c:pt idx="2">
                  <c:v>1440.5111866666666</c:v>
                </c:pt>
              </c:numCache>
            </c:numRef>
          </c:val>
          <c:smooth val="0"/>
          <c:extLst>
            <c:ext xmlns:c16="http://schemas.microsoft.com/office/drawing/2014/chart" uri="{C3380CC4-5D6E-409C-BE32-E72D297353CC}">
              <c16:uniqueId val="{00000002-C3A8-4D9D-8369-35A05A325E69}"/>
            </c:ext>
          </c:extLst>
        </c:ser>
        <c:ser>
          <c:idx val="3"/>
          <c:order val="2"/>
          <c:tx>
            <c:strRef>
              <c:f>Résultats_sommaires!$N$5</c:f>
              <c:strCache>
                <c:ptCount val="1"/>
                <c:pt idx="0">
                  <c:v>SOYA-ORGE-MG</c:v>
                </c:pt>
              </c:strCache>
            </c:strRef>
          </c:tx>
          <c:spPr>
            <a:ln w="28575" cap="rnd">
              <a:solidFill>
                <a:schemeClr val="accent4"/>
              </a:solidFill>
              <a:round/>
            </a:ln>
            <a:effectLst/>
          </c:spPr>
          <c:marker>
            <c:symbol val="none"/>
          </c:marker>
          <c:cat>
            <c:strRef>
              <c:f>Résultats_sommaires!$O$2:$Q$2</c:f>
              <c:strCache>
                <c:ptCount val="3"/>
                <c:pt idx="0">
                  <c:v>Moyenne annuelle 
Cycle 1</c:v>
                </c:pt>
                <c:pt idx="1">
                  <c:v>Moyenne annuelle 
Cycle 2</c:v>
                </c:pt>
                <c:pt idx="2">
                  <c:v>Moyenne annuelle 
Cycle 3</c:v>
                </c:pt>
              </c:strCache>
            </c:strRef>
          </c:cat>
          <c:val>
            <c:numRef>
              <c:f>Résultats_sommaires!$O$5:$Q$5</c:f>
              <c:numCache>
                <c:formatCode>#\ ##0\ "$"</c:formatCode>
                <c:ptCount val="3"/>
                <c:pt idx="0">
                  <c:v>1515.68452</c:v>
                </c:pt>
                <c:pt idx="1">
                  <c:v>1527.3511866666668</c:v>
                </c:pt>
                <c:pt idx="2">
                  <c:v>1539.0178533333335</c:v>
                </c:pt>
              </c:numCache>
            </c:numRef>
          </c:val>
          <c:smooth val="0"/>
          <c:extLst>
            <c:ext xmlns:c16="http://schemas.microsoft.com/office/drawing/2014/chart" uri="{C3380CC4-5D6E-409C-BE32-E72D297353CC}">
              <c16:uniqueId val="{00000003-C3A8-4D9D-8369-35A05A325E69}"/>
            </c:ext>
          </c:extLst>
        </c:ser>
        <c:ser>
          <c:idx val="4"/>
          <c:order val="3"/>
          <c:tx>
            <c:strRef>
              <c:f>Résultats_sommaires!$N$6</c:f>
              <c:strCache>
                <c:ptCount val="1"/>
                <c:pt idx="0">
                  <c:v>SOYA-AVOINE-MG</c:v>
                </c:pt>
              </c:strCache>
            </c:strRef>
          </c:tx>
          <c:spPr>
            <a:ln w="28575" cap="rnd">
              <a:solidFill>
                <a:schemeClr val="accent5"/>
              </a:solidFill>
              <a:round/>
            </a:ln>
            <a:effectLst/>
          </c:spPr>
          <c:marker>
            <c:symbol val="none"/>
          </c:marker>
          <c:cat>
            <c:strRef>
              <c:f>Résultats_sommaires!$O$2:$Q$2</c:f>
              <c:strCache>
                <c:ptCount val="3"/>
                <c:pt idx="0">
                  <c:v>Moyenne annuelle 
Cycle 1</c:v>
                </c:pt>
                <c:pt idx="1">
                  <c:v>Moyenne annuelle 
Cycle 2</c:v>
                </c:pt>
                <c:pt idx="2">
                  <c:v>Moyenne annuelle 
Cycle 3</c:v>
                </c:pt>
              </c:strCache>
            </c:strRef>
          </c:cat>
          <c:val>
            <c:numRef>
              <c:f>Résultats_sommaires!$O$6:$Q$6</c:f>
              <c:numCache>
                <c:formatCode>#\ ##0\ "$"</c:formatCode>
                <c:ptCount val="3"/>
                <c:pt idx="0">
                  <c:v>1282.1911866666667</c:v>
                </c:pt>
                <c:pt idx="1">
                  <c:v>1293.8578533333332</c:v>
                </c:pt>
                <c:pt idx="2">
                  <c:v>1305.5245199999999</c:v>
                </c:pt>
              </c:numCache>
            </c:numRef>
          </c:val>
          <c:smooth val="0"/>
          <c:extLst>
            <c:ext xmlns:c16="http://schemas.microsoft.com/office/drawing/2014/chart" uri="{C3380CC4-5D6E-409C-BE32-E72D297353CC}">
              <c16:uniqueId val="{00000004-C3A8-4D9D-8369-35A05A325E69}"/>
            </c:ext>
          </c:extLst>
        </c:ser>
        <c:ser>
          <c:idx val="5"/>
          <c:order val="4"/>
          <c:tx>
            <c:strRef>
              <c:f>Résultats_sommaires!$N$7</c:f>
              <c:strCache>
                <c:ptCount val="1"/>
                <c:pt idx="0">
                  <c:v>SOYA-SEIGLE-MG</c:v>
                </c:pt>
              </c:strCache>
            </c:strRef>
          </c:tx>
          <c:spPr>
            <a:ln w="28575" cap="rnd">
              <a:solidFill>
                <a:schemeClr val="accent6"/>
              </a:solidFill>
              <a:round/>
            </a:ln>
            <a:effectLst/>
          </c:spPr>
          <c:marker>
            <c:symbol val="none"/>
          </c:marker>
          <c:cat>
            <c:strRef>
              <c:f>Résultats_sommaires!$O$2:$Q$2</c:f>
              <c:strCache>
                <c:ptCount val="3"/>
                <c:pt idx="0">
                  <c:v>Moyenne annuelle 
Cycle 1</c:v>
                </c:pt>
                <c:pt idx="1">
                  <c:v>Moyenne annuelle 
Cycle 2</c:v>
                </c:pt>
                <c:pt idx="2">
                  <c:v>Moyenne annuelle 
Cycle 3</c:v>
                </c:pt>
              </c:strCache>
            </c:strRef>
          </c:cat>
          <c:val>
            <c:numRef>
              <c:f>Résultats_sommaires!$O$7:$Q$7</c:f>
              <c:numCache>
                <c:formatCode>#\ ##0\ "$"</c:formatCode>
                <c:ptCount val="3"/>
                <c:pt idx="0">
                  <c:v>1410.7898266666664</c:v>
                </c:pt>
                <c:pt idx="1">
                  <c:v>1422.4564933333331</c:v>
                </c:pt>
                <c:pt idx="2">
                  <c:v>1434.1231599999999</c:v>
                </c:pt>
              </c:numCache>
            </c:numRef>
          </c:val>
          <c:smooth val="0"/>
          <c:extLst>
            <c:ext xmlns:c16="http://schemas.microsoft.com/office/drawing/2014/chart" uri="{C3380CC4-5D6E-409C-BE32-E72D297353CC}">
              <c16:uniqueId val="{00000005-C3A8-4D9D-8369-35A05A325E69}"/>
            </c:ext>
          </c:extLst>
        </c:ser>
        <c:ser>
          <c:idx val="6"/>
          <c:order val="5"/>
          <c:tx>
            <c:strRef>
              <c:f>Résultats_sommaires!$N$8</c:f>
              <c:strCache>
                <c:ptCount val="1"/>
                <c:pt idx="0">
                  <c:v>SOYA-SEIGLE HYBRIDE D'AUTOMNE-MG</c:v>
                </c:pt>
              </c:strCache>
            </c:strRef>
          </c:tx>
          <c:spPr>
            <a:ln w="28575" cap="rnd">
              <a:solidFill>
                <a:schemeClr val="accent1">
                  <a:lumMod val="60000"/>
                </a:schemeClr>
              </a:solidFill>
              <a:round/>
            </a:ln>
            <a:effectLst/>
          </c:spPr>
          <c:marker>
            <c:symbol val="none"/>
          </c:marker>
          <c:cat>
            <c:strRef>
              <c:f>Résultats_sommaires!$O$2:$Q$2</c:f>
              <c:strCache>
                <c:ptCount val="3"/>
                <c:pt idx="0">
                  <c:v>Moyenne annuelle 
Cycle 1</c:v>
                </c:pt>
                <c:pt idx="1">
                  <c:v>Moyenne annuelle 
Cycle 2</c:v>
                </c:pt>
                <c:pt idx="2">
                  <c:v>Moyenne annuelle 
Cycle 3</c:v>
                </c:pt>
              </c:strCache>
            </c:strRef>
          </c:cat>
          <c:val>
            <c:numRef>
              <c:f>Résultats_sommaires!$O$8:$Q$8</c:f>
              <c:numCache>
                <c:formatCode>#\ ##0\ "$"</c:formatCode>
                <c:ptCount val="3"/>
                <c:pt idx="0">
                  <c:v>1681.1651333333332</c:v>
                </c:pt>
                <c:pt idx="1">
                  <c:v>1692.8317999999999</c:v>
                </c:pt>
                <c:pt idx="2">
                  <c:v>1704.4984666666667</c:v>
                </c:pt>
              </c:numCache>
            </c:numRef>
          </c:val>
          <c:smooth val="0"/>
          <c:extLst>
            <c:ext xmlns:c16="http://schemas.microsoft.com/office/drawing/2014/chart" uri="{C3380CC4-5D6E-409C-BE32-E72D297353CC}">
              <c16:uniqueId val="{00000006-C3A8-4D9D-8369-35A05A325E69}"/>
            </c:ext>
          </c:extLst>
        </c:ser>
        <c:dLbls>
          <c:showLegendKey val="0"/>
          <c:showVal val="0"/>
          <c:showCatName val="0"/>
          <c:showSerName val="0"/>
          <c:showPercent val="0"/>
          <c:showBubbleSize val="0"/>
        </c:dLbls>
        <c:smooth val="0"/>
        <c:axId val="594389632"/>
        <c:axId val="601936472"/>
      </c:lineChart>
      <c:catAx>
        <c:axId val="594389632"/>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100" b="1" i="0" u="none" strike="noStrike" kern="1200" baseline="0">
                <a:solidFill>
                  <a:sysClr val="windowText" lastClr="000000"/>
                </a:solidFill>
                <a:latin typeface="+mn-lt"/>
                <a:ea typeface="+mn-ea"/>
                <a:cs typeface="+mn-cs"/>
              </a:defRPr>
            </a:pPr>
            <a:endParaRPr lang="fr-FR"/>
          </a:p>
        </c:txPr>
        <c:crossAx val="601936472"/>
        <c:crosses val="autoZero"/>
        <c:auto val="1"/>
        <c:lblAlgn val="ctr"/>
        <c:lblOffset val="100"/>
        <c:noMultiLvlLbl val="0"/>
      </c:catAx>
      <c:valAx>
        <c:axId val="601936472"/>
        <c:scaling>
          <c:orientation val="minMax"/>
          <c:min val="500"/>
        </c:scaling>
        <c:delete val="0"/>
        <c:axPos val="l"/>
        <c:majorGridlines>
          <c:spPr>
            <a:ln w="9525" cap="flat" cmpd="sng" algn="ctr">
              <a:solidFill>
                <a:schemeClr val="tx1">
                  <a:lumMod val="15000"/>
                  <a:lumOff val="85000"/>
                </a:schemeClr>
              </a:solidFill>
              <a:round/>
            </a:ln>
            <a:effectLst/>
          </c:spPr>
        </c:majorGridlines>
        <c:numFmt formatCode="&quot;$&quot;#,##0" sourceLinked="0"/>
        <c:majorTickMark val="none"/>
        <c:minorTickMark val="none"/>
        <c:tickLblPos val="nextTo"/>
        <c:spPr>
          <a:noFill/>
          <a:ln>
            <a:noFill/>
          </a:ln>
          <a:effectLst/>
        </c:spPr>
        <c:txPr>
          <a:bodyPr rot="-60000000" spcFirstLastPara="1" vertOverflow="ellipsis" vert="horz" wrap="square" anchor="ctr" anchorCtr="1"/>
          <a:lstStyle/>
          <a:p>
            <a:pPr>
              <a:defRPr sz="1100" b="1" i="0" u="none" strike="noStrike" kern="1200" baseline="0">
                <a:solidFill>
                  <a:sysClr val="windowText" lastClr="000000"/>
                </a:solidFill>
                <a:latin typeface="+mn-lt"/>
                <a:ea typeface="+mn-ea"/>
                <a:cs typeface="+mn-cs"/>
              </a:defRPr>
            </a:pPr>
            <a:endParaRPr lang="fr-FR"/>
          </a:p>
        </c:txPr>
        <c:crossAx val="594389632"/>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1100" b="1" i="0" u="none" strike="noStrike" kern="1200" baseline="0">
              <a:solidFill>
                <a:sysClr val="windowText" lastClr="000000"/>
              </a:solidFill>
              <a:latin typeface="+mn-lt"/>
              <a:ea typeface="+mn-ea"/>
              <a:cs typeface="+mn-cs"/>
            </a:defRPr>
          </a:pPr>
          <a:endParaRPr lang="fr-FR"/>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100" b="1">
          <a:solidFill>
            <a:sysClr val="windowText" lastClr="000000"/>
          </a:solidFill>
        </a:defRPr>
      </a:pPr>
      <a:endParaRPr lang="fr-FR"/>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320" b="1" i="0" u="none" strike="noStrike" kern="1200" spc="0" baseline="0">
                <a:solidFill>
                  <a:sysClr val="windowText" lastClr="000000"/>
                </a:solidFill>
                <a:latin typeface="+mn-lt"/>
                <a:ea typeface="+mn-ea"/>
                <a:cs typeface="+mn-cs"/>
              </a:defRPr>
            </a:pPr>
            <a:r>
              <a:rPr lang="en-CA"/>
              <a:t>Marge bénéficiaire après amortissement et rémunération du travail de votre ferme, moyenne annuelle ($/ha)</a:t>
            </a:r>
          </a:p>
        </c:rich>
      </c:tx>
      <c:overlay val="0"/>
      <c:spPr>
        <a:noFill/>
        <a:ln>
          <a:noFill/>
        </a:ln>
        <a:effectLst/>
      </c:spPr>
      <c:txPr>
        <a:bodyPr rot="0" spcFirstLastPara="1" vertOverflow="ellipsis" vert="horz" wrap="square" anchor="ctr" anchorCtr="1"/>
        <a:lstStyle/>
        <a:p>
          <a:pPr>
            <a:defRPr sz="1320" b="1" i="0" u="none" strike="noStrike" kern="1200" spc="0" baseline="0">
              <a:solidFill>
                <a:sysClr val="windowText" lastClr="000000"/>
              </a:solidFill>
              <a:latin typeface="+mn-lt"/>
              <a:ea typeface="+mn-ea"/>
              <a:cs typeface="+mn-cs"/>
            </a:defRPr>
          </a:pPr>
          <a:endParaRPr lang="fr-FR"/>
        </a:p>
      </c:txPr>
    </c:title>
    <c:autoTitleDeleted val="0"/>
    <c:plotArea>
      <c:layout/>
      <c:lineChart>
        <c:grouping val="standard"/>
        <c:varyColors val="0"/>
        <c:ser>
          <c:idx val="1"/>
          <c:order val="0"/>
          <c:tx>
            <c:strRef>
              <c:f>Résultats_sommaires!$N$24</c:f>
              <c:strCache>
                <c:ptCount val="1"/>
                <c:pt idx="0">
                  <c:v>SOYA-BLÉ D'AUTOMNE PANIFIABLE-MG</c:v>
                </c:pt>
              </c:strCache>
            </c:strRef>
          </c:tx>
          <c:spPr>
            <a:ln w="28575" cap="rnd">
              <a:solidFill>
                <a:schemeClr val="accent2"/>
              </a:solidFill>
              <a:round/>
            </a:ln>
            <a:effectLst/>
          </c:spPr>
          <c:marker>
            <c:symbol val="none"/>
          </c:marker>
          <c:cat>
            <c:strRef>
              <c:f>Résultats_sommaires!$O$23:$Q$23</c:f>
              <c:strCache>
                <c:ptCount val="3"/>
                <c:pt idx="0">
                  <c:v>Moyenne annuelle 
Cycle 1</c:v>
                </c:pt>
                <c:pt idx="1">
                  <c:v>Moyenne annuelle 
Cycle 2</c:v>
                </c:pt>
                <c:pt idx="2">
                  <c:v>Moyenne annuelle 
Cycle 3</c:v>
                </c:pt>
              </c:strCache>
            </c:strRef>
          </c:cat>
          <c:val>
            <c:numRef>
              <c:f>Résultats_sommaires!$O$24:$Q$24</c:f>
              <c:numCache>
                <c:formatCode>#\ ##0\ "$"</c:formatCode>
                <c:ptCount val="3"/>
                <c:pt idx="0">
                  <c:v>848.33815333333314</c:v>
                </c:pt>
                <c:pt idx="1">
                  <c:v>860.00481999999977</c:v>
                </c:pt>
                <c:pt idx="2">
                  <c:v>871.67148666666651</c:v>
                </c:pt>
              </c:numCache>
            </c:numRef>
          </c:val>
          <c:smooth val="0"/>
          <c:extLst>
            <c:ext xmlns:c16="http://schemas.microsoft.com/office/drawing/2014/chart" uri="{C3380CC4-5D6E-409C-BE32-E72D297353CC}">
              <c16:uniqueId val="{00000001-B73C-4425-9786-1A8AA96C20A1}"/>
            </c:ext>
          </c:extLst>
        </c:ser>
        <c:ser>
          <c:idx val="2"/>
          <c:order val="1"/>
          <c:tx>
            <c:strRef>
              <c:f>Résultats_sommaires!$N$25</c:f>
              <c:strCache>
                <c:ptCount val="1"/>
                <c:pt idx="0">
                  <c:v>SOYA-BLÉ DE PRINTEMPS PANIFIABLE-MG</c:v>
                </c:pt>
              </c:strCache>
            </c:strRef>
          </c:tx>
          <c:spPr>
            <a:ln w="28575" cap="rnd">
              <a:solidFill>
                <a:srgbClr val="7030A0"/>
              </a:solidFill>
              <a:round/>
            </a:ln>
            <a:effectLst/>
          </c:spPr>
          <c:marker>
            <c:symbol val="none"/>
          </c:marker>
          <c:cat>
            <c:strRef>
              <c:f>Résultats_sommaires!$O$23:$Q$23</c:f>
              <c:strCache>
                <c:ptCount val="3"/>
                <c:pt idx="0">
                  <c:v>Moyenne annuelle 
Cycle 1</c:v>
                </c:pt>
                <c:pt idx="1">
                  <c:v>Moyenne annuelle 
Cycle 2</c:v>
                </c:pt>
                <c:pt idx="2">
                  <c:v>Moyenne annuelle 
Cycle 3</c:v>
                </c:pt>
              </c:strCache>
            </c:strRef>
          </c:cat>
          <c:val>
            <c:numRef>
              <c:f>Résultats_sommaires!$O$25:$Q$25</c:f>
              <c:numCache>
                <c:formatCode>#\ ##0\ "$"</c:formatCode>
                <c:ptCount val="3"/>
                <c:pt idx="0">
                  <c:v>690.98118666666653</c:v>
                </c:pt>
                <c:pt idx="1">
                  <c:v>702.64785333333327</c:v>
                </c:pt>
                <c:pt idx="2">
                  <c:v>714.3145199999999</c:v>
                </c:pt>
              </c:numCache>
            </c:numRef>
          </c:val>
          <c:smooth val="0"/>
          <c:extLst>
            <c:ext xmlns:c16="http://schemas.microsoft.com/office/drawing/2014/chart" uri="{C3380CC4-5D6E-409C-BE32-E72D297353CC}">
              <c16:uniqueId val="{00000002-B73C-4425-9786-1A8AA96C20A1}"/>
            </c:ext>
          </c:extLst>
        </c:ser>
        <c:ser>
          <c:idx val="3"/>
          <c:order val="2"/>
          <c:tx>
            <c:strRef>
              <c:f>Résultats_sommaires!$N$26</c:f>
              <c:strCache>
                <c:ptCount val="1"/>
                <c:pt idx="0">
                  <c:v>SOYA-ORGE-MG</c:v>
                </c:pt>
              </c:strCache>
            </c:strRef>
          </c:tx>
          <c:spPr>
            <a:ln w="28575" cap="rnd">
              <a:solidFill>
                <a:schemeClr val="accent4"/>
              </a:solidFill>
              <a:round/>
            </a:ln>
            <a:effectLst/>
          </c:spPr>
          <c:marker>
            <c:symbol val="none"/>
          </c:marker>
          <c:cat>
            <c:strRef>
              <c:f>Résultats_sommaires!$O$23:$Q$23</c:f>
              <c:strCache>
                <c:ptCount val="3"/>
                <c:pt idx="0">
                  <c:v>Moyenne annuelle 
Cycle 1</c:v>
                </c:pt>
                <c:pt idx="1">
                  <c:v>Moyenne annuelle 
Cycle 2</c:v>
                </c:pt>
                <c:pt idx="2">
                  <c:v>Moyenne annuelle 
Cycle 3</c:v>
                </c:pt>
              </c:strCache>
            </c:strRef>
          </c:cat>
          <c:val>
            <c:numRef>
              <c:f>Résultats_sommaires!$O$26:$Q$26</c:f>
              <c:numCache>
                <c:formatCode>#\ ##0\ "$"</c:formatCode>
                <c:ptCount val="3"/>
                <c:pt idx="0">
                  <c:v>788.67118666666659</c:v>
                </c:pt>
                <c:pt idx="1">
                  <c:v>800.33785333333333</c:v>
                </c:pt>
                <c:pt idx="2">
                  <c:v>812.00451999999996</c:v>
                </c:pt>
              </c:numCache>
            </c:numRef>
          </c:val>
          <c:smooth val="0"/>
          <c:extLst>
            <c:ext xmlns:c16="http://schemas.microsoft.com/office/drawing/2014/chart" uri="{C3380CC4-5D6E-409C-BE32-E72D297353CC}">
              <c16:uniqueId val="{00000003-B73C-4425-9786-1A8AA96C20A1}"/>
            </c:ext>
          </c:extLst>
        </c:ser>
        <c:ser>
          <c:idx val="4"/>
          <c:order val="3"/>
          <c:tx>
            <c:strRef>
              <c:f>Résultats_sommaires!$N$27</c:f>
              <c:strCache>
                <c:ptCount val="1"/>
                <c:pt idx="0">
                  <c:v>SOYA-AVOINE-MG</c:v>
                </c:pt>
              </c:strCache>
            </c:strRef>
          </c:tx>
          <c:spPr>
            <a:ln w="28575" cap="rnd">
              <a:solidFill>
                <a:schemeClr val="accent5"/>
              </a:solidFill>
              <a:round/>
            </a:ln>
            <a:effectLst/>
          </c:spPr>
          <c:marker>
            <c:symbol val="none"/>
          </c:marker>
          <c:cat>
            <c:strRef>
              <c:f>Résultats_sommaires!$O$23:$Q$23</c:f>
              <c:strCache>
                <c:ptCount val="3"/>
                <c:pt idx="0">
                  <c:v>Moyenne annuelle 
Cycle 1</c:v>
                </c:pt>
                <c:pt idx="1">
                  <c:v>Moyenne annuelle 
Cycle 2</c:v>
                </c:pt>
                <c:pt idx="2">
                  <c:v>Moyenne annuelle 
Cycle 3</c:v>
                </c:pt>
              </c:strCache>
            </c:strRef>
          </c:cat>
          <c:val>
            <c:numRef>
              <c:f>Résultats_sommaires!$O$27:$Q$27</c:f>
              <c:numCache>
                <c:formatCode>#\ ##0\ "$"</c:formatCode>
                <c:ptCount val="3"/>
                <c:pt idx="0">
                  <c:v>587.74451999999997</c:v>
                </c:pt>
                <c:pt idx="1">
                  <c:v>599.41118666666659</c:v>
                </c:pt>
                <c:pt idx="2">
                  <c:v>611.07785333333334</c:v>
                </c:pt>
              </c:numCache>
            </c:numRef>
          </c:val>
          <c:smooth val="0"/>
          <c:extLst>
            <c:ext xmlns:c16="http://schemas.microsoft.com/office/drawing/2014/chart" uri="{C3380CC4-5D6E-409C-BE32-E72D297353CC}">
              <c16:uniqueId val="{00000004-B73C-4425-9786-1A8AA96C20A1}"/>
            </c:ext>
          </c:extLst>
        </c:ser>
        <c:ser>
          <c:idx val="5"/>
          <c:order val="4"/>
          <c:tx>
            <c:strRef>
              <c:f>Résultats_sommaires!$N$28</c:f>
              <c:strCache>
                <c:ptCount val="1"/>
                <c:pt idx="0">
                  <c:v>SOYA-SEIGLE-MG</c:v>
                </c:pt>
              </c:strCache>
            </c:strRef>
          </c:tx>
          <c:spPr>
            <a:ln w="28575" cap="rnd">
              <a:solidFill>
                <a:schemeClr val="accent6"/>
              </a:solidFill>
              <a:round/>
            </a:ln>
            <a:effectLst/>
          </c:spPr>
          <c:marker>
            <c:symbol val="none"/>
          </c:marker>
          <c:cat>
            <c:strRef>
              <c:f>Résultats_sommaires!$O$23:$Q$23</c:f>
              <c:strCache>
                <c:ptCount val="3"/>
                <c:pt idx="0">
                  <c:v>Moyenne annuelle 
Cycle 1</c:v>
                </c:pt>
                <c:pt idx="1">
                  <c:v>Moyenne annuelle 
Cycle 2</c:v>
                </c:pt>
                <c:pt idx="2">
                  <c:v>Moyenne annuelle 
Cycle 3</c:v>
                </c:pt>
              </c:strCache>
            </c:strRef>
          </c:cat>
          <c:val>
            <c:numRef>
              <c:f>Résultats_sommaires!$O$28:$Q$28</c:f>
              <c:numCache>
                <c:formatCode>#\ ##0\ "$"</c:formatCode>
                <c:ptCount val="3"/>
                <c:pt idx="0">
                  <c:v>695.67315999999994</c:v>
                </c:pt>
                <c:pt idx="1">
                  <c:v>707.33982666666668</c:v>
                </c:pt>
                <c:pt idx="2">
                  <c:v>719.00649333333331</c:v>
                </c:pt>
              </c:numCache>
            </c:numRef>
          </c:val>
          <c:smooth val="0"/>
          <c:extLst>
            <c:ext xmlns:c16="http://schemas.microsoft.com/office/drawing/2014/chart" uri="{C3380CC4-5D6E-409C-BE32-E72D297353CC}">
              <c16:uniqueId val="{00000005-B73C-4425-9786-1A8AA96C20A1}"/>
            </c:ext>
          </c:extLst>
        </c:ser>
        <c:ser>
          <c:idx val="6"/>
          <c:order val="5"/>
          <c:tx>
            <c:strRef>
              <c:f>Résultats_sommaires!$N$29</c:f>
              <c:strCache>
                <c:ptCount val="1"/>
                <c:pt idx="0">
                  <c:v>SOYA-SEIGLE HYBRIDE D'AUTOMNE-MG</c:v>
                </c:pt>
              </c:strCache>
            </c:strRef>
          </c:tx>
          <c:spPr>
            <a:ln w="28575" cap="rnd">
              <a:solidFill>
                <a:schemeClr val="accent1">
                  <a:lumMod val="60000"/>
                </a:schemeClr>
              </a:solidFill>
              <a:round/>
            </a:ln>
            <a:effectLst/>
          </c:spPr>
          <c:marker>
            <c:symbol val="none"/>
          </c:marker>
          <c:cat>
            <c:strRef>
              <c:f>Résultats_sommaires!$O$23:$Q$23</c:f>
              <c:strCache>
                <c:ptCount val="3"/>
                <c:pt idx="0">
                  <c:v>Moyenne annuelle 
Cycle 1</c:v>
                </c:pt>
                <c:pt idx="1">
                  <c:v>Moyenne annuelle 
Cycle 2</c:v>
                </c:pt>
                <c:pt idx="2">
                  <c:v>Moyenne annuelle 
Cycle 3</c:v>
                </c:pt>
              </c:strCache>
            </c:strRef>
          </c:cat>
          <c:val>
            <c:numRef>
              <c:f>Résultats_sommaires!$O$29:$Q$29</c:f>
              <c:numCache>
                <c:formatCode>#\ ##0\ "$"</c:formatCode>
                <c:ptCount val="3"/>
                <c:pt idx="0">
                  <c:v>966.04846666666651</c:v>
                </c:pt>
                <c:pt idx="1">
                  <c:v>977.71513333333314</c:v>
                </c:pt>
                <c:pt idx="2">
                  <c:v>989.38179999999977</c:v>
                </c:pt>
              </c:numCache>
            </c:numRef>
          </c:val>
          <c:smooth val="0"/>
          <c:extLst>
            <c:ext xmlns:c16="http://schemas.microsoft.com/office/drawing/2014/chart" uri="{C3380CC4-5D6E-409C-BE32-E72D297353CC}">
              <c16:uniqueId val="{00000006-B73C-4425-9786-1A8AA96C20A1}"/>
            </c:ext>
          </c:extLst>
        </c:ser>
        <c:dLbls>
          <c:showLegendKey val="0"/>
          <c:showVal val="0"/>
          <c:showCatName val="0"/>
          <c:showSerName val="0"/>
          <c:showPercent val="0"/>
          <c:showBubbleSize val="0"/>
        </c:dLbls>
        <c:smooth val="0"/>
        <c:axId val="818368432"/>
        <c:axId val="818369088"/>
      </c:lineChart>
      <c:catAx>
        <c:axId val="818368432"/>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100" b="1" i="0" u="none" strike="noStrike" kern="1200" baseline="0">
                <a:solidFill>
                  <a:sysClr val="windowText" lastClr="000000"/>
                </a:solidFill>
                <a:latin typeface="+mn-lt"/>
                <a:ea typeface="+mn-ea"/>
                <a:cs typeface="+mn-cs"/>
              </a:defRPr>
            </a:pPr>
            <a:endParaRPr lang="fr-FR"/>
          </a:p>
        </c:txPr>
        <c:crossAx val="818369088"/>
        <c:crosses val="autoZero"/>
        <c:auto val="1"/>
        <c:lblAlgn val="ctr"/>
        <c:lblOffset val="100"/>
        <c:noMultiLvlLbl val="0"/>
      </c:catAx>
      <c:valAx>
        <c:axId val="818369088"/>
        <c:scaling>
          <c:orientation val="minMax"/>
          <c:max val="1750"/>
          <c:min val="250"/>
        </c:scaling>
        <c:delete val="0"/>
        <c:axPos val="l"/>
        <c:majorGridlines>
          <c:spPr>
            <a:ln w="9525" cap="flat" cmpd="sng" algn="ctr">
              <a:solidFill>
                <a:schemeClr val="tx1">
                  <a:lumMod val="15000"/>
                  <a:lumOff val="85000"/>
                </a:schemeClr>
              </a:solidFill>
              <a:round/>
            </a:ln>
            <a:effectLst/>
          </c:spPr>
        </c:majorGridlines>
        <c:numFmt formatCode="&quot;$&quot;#,##0" sourceLinked="0"/>
        <c:majorTickMark val="none"/>
        <c:minorTickMark val="none"/>
        <c:tickLblPos val="nextTo"/>
        <c:spPr>
          <a:noFill/>
          <a:ln>
            <a:noFill/>
          </a:ln>
          <a:effectLst/>
        </c:spPr>
        <c:txPr>
          <a:bodyPr rot="-60000000" spcFirstLastPara="1" vertOverflow="ellipsis" vert="horz" wrap="square" anchor="ctr" anchorCtr="1"/>
          <a:lstStyle/>
          <a:p>
            <a:pPr>
              <a:defRPr sz="1100" b="1" i="0" u="none" strike="noStrike" kern="1200" baseline="0">
                <a:solidFill>
                  <a:sysClr val="windowText" lastClr="000000"/>
                </a:solidFill>
                <a:latin typeface="+mn-lt"/>
                <a:ea typeface="+mn-ea"/>
                <a:cs typeface="+mn-cs"/>
              </a:defRPr>
            </a:pPr>
            <a:endParaRPr lang="fr-FR"/>
          </a:p>
        </c:txPr>
        <c:crossAx val="818368432"/>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1100" b="1" i="0" u="none" strike="noStrike" kern="1200" baseline="0">
              <a:solidFill>
                <a:sysClr val="windowText" lastClr="000000"/>
              </a:solidFill>
              <a:latin typeface="+mn-lt"/>
              <a:ea typeface="+mn-ea"/>
              <a:cs typeface="+mn-cs"/>
            </a:defRPr>
          </a:pPr>
          <a:endParaRPr lang="fr-FR"/>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100" b="1">
          <a:solidFill>
            <a:sysClr val="windowText" lastClr="000000"/>
          </a:solidFill>
        </a:defRPr>
      </a:pPr>
      <a:endParaRPr lang="fr-F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3" Type="http://schemas.openxmlformats.org/officeDocument/2006/relationships/chart" Target="../charts/chart3.xml"/><Relationship Id="rId2" Type="http://schemas.openxmlformats.org/officeDocument/2006/relationships/chart" Target="../charts/chart2.xml"/><Relationship Id="rId1" Type="http://schemas.openxmlformats.org/officeDocument/2006/relationships/chart" Target="../charts/chart1.xml"/><Relationship Id="rId4" Type="http://schemas.openxmlformats.org/officeDocument/2006/relationships/chart" Target="../charts/chart4.xml"/></Relationships>
</file>

<file path=xl/drawings/drawing1.xml><?xml version="1.0" encoding="utf-8"?>
<xdr:wsDr xmlns:xdr="http://schemas.openxmlformats.org/drawingml/2006/spreadsheetDrawing" xmlns:a="http://schemas.openxmlformats.org/drawingml/2006/main">
  <xdr:twoCellAnchor>
    <xdr:from>
      <xdr:col>5</xdr:col>
      <xdr:colOff>0</xdr:colOff>
      <xdr:row>0</xdr:row>
      <xdr:rowOff>1</xdr:rowOff>
    </xdr:from>
    <xdr:to>
      <xdr:col>13</xdr:col>
      <xdr:colOff>85725</xdr:colOff>
      <xdr:row>20</xdr:row>
      <xdr:rowOff>9526</xdr:rowOff>
    </xdr:to>
    <xdr:graphicFrame macro="">
      <xdr:nvGraphicFramePr>
        <xdr:cNvPr id="2" name="Graphique 1">
          <a:extLst>
            <a:ext uri="{FF2B5EF4-FFF2-40B4-BE49-F238E27FC236}">
              <a16:creationId xmlns:a16="http://schemas.microsoft.com/office/drawing/2014/main" id="{91D5052A-8796-F013-9CC1-C01A16147ACC}"/>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5</xdr:col>
      <xdr:colOff>0</xdr:colOff>
      <xdr:row>21</xdr:row>
      <xdr:rowOff>0</xdr:rowOff>
    </xdr:from>
    <xdr:to>
      <xdr:col>12</xdr:col>
      <xdr:colOff>0</xdr:colOff>
      <xdr:row>38</xdr:row>
      <xdr:rowOff>0</xdr:rowOff>
    </xdr:to>
    <xdr:graphicFrame macro="">
      <xdr:nvGraphicFramePr>
        <xdr:cNvPr id="3" name="Graphique 2">
          <a:extLst>
            <a:ext uri="{FF2B5EF4-FFF2-40B4-BE49-F238E27FC236}">
              <a16:creationId xmlns:a16="http://schemas.microsoft.com/office/drawing/2014/main" id="{473FDA42-4677-0981-71F7-2BD47BE2CEF2}"/>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18</xdr:col>
      <xdr:colOff>0</xdr:colOff>
      <xdr:row>0</xdr:row>
      <xdr:rowOff>0</xdr:rowOff>
    </xdr:from>
    <xdr:to>
      <xdr:col>26</xdr:col>
      <xdr:colOff>0</xdr:colOff>
      <xdr:row>20</xdr:row>
      <xdr:rowOff>0</xdr:rowOff>
    </xdr:to>
    <xdr:graphicFrame macro="">
      <xdr:nvGraphicFramePr>
        <xdr:cNvPr id="4" name="Graphique 3">
          <a:extLst>
            <a:ext uri="{FF2B5EF4-FFF2-40B4-BE49-F238E27FC236}">
              <a16:creationId xmlns:a16="http://schemas.microsoft.com/office/drawing/2014/main" id="{7FF0A943-550D-A3DB-ACB9-357ADD647C3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18</xdr:col>
      <xdr:colOff>0</xdr:colOff>
      <xdr:row>21</xdr:row>
      <xdr:rowOff>0</xdr:rowOff>
    </xdr:from>
    <xdr:to>
      <xdr:col>26</xdr:col>
      <xdr:colOff>0</xdr:colOff>
      <xdr:row>38</xdr:row>
      <xdr:rowOff>0</xdr:rowOff>
    </xdr:to>
    <xdr:graphicFrame macro="">
      <xdr:nvGraphicFramePr>
        <xdr:cNvPr id="5" name="Graphique 4">
          <a:extLst>
            <a:ext uri="{FF2B5EF4-FFF2-40B4-BE49-F238E27FC236}">
              <a16:creationId xmlns:a16="http://schemas.microsoft.com/office/drawing/2014/main" id="{DD1C2CD8-7060-E3DC-2FCE-67E3192B9C8D}"/>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persons/person.xml><?xml version="1.0" encoding="utf-8"?>
<personList xmlns="http://schemas.microsoft.com/office/spreadsheetml/2018/threadedcomments" xmlns:x="http://schemas.openxmlformats.org/spreadsheetml/2006/main">
  <person displayName="Philippe Leriche" id="{1B138244-581F-425F-B91C-347618A20CAD}" userId="Philippe Leriche" providerId="None"/>
</personList>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A56" dT="2023-01-13T20:13:37.14" personId="{1B138244-581F-425F-B91C-347618A20CAD}" id="{B245052F-9210-45BC-BE03-06B1511F3403}">
    <text>Les analyses sont effectuées sur trois cycles de rotation. Un cycle de rotation a une durée de 3 ans. Par exemple une rotation MG-Soya-Orge représente un cycle de 3 ans (an 1 = MG, an 2 = Soya et an 3 = Orge).</text>
  </threadedComment>
</ThreadedComments>
</file>

<file path=xl/threadedComments/threadedComment2.xml><?xml version="1.0" encoding="utf-8"?>
<ThreadedComments xmlns="http://schemas.microsoft.com/office/spreadsheetml/2018/threadedcomments" xmlns:x="http://schemas.openxmlformats.org/spreadsheetml/2006/main">
  <threadedComment ref="B7" dT="2023-01-13T20:11:11.59" personId="{1B138244-581F-425F-B91C-347618A20CAD}" id="{C9133AD1-F5B0-4E15-8FAC-9D0F6630AC31}">
    <text>Le CECPA ne distingue pas le rendement du blé d'automne et du blé de printemps. Des producteurs agricoles et agronomes nous ont informés que le blé d'automne possède un rendement entre 25 % et 50 % plus élevé que le blé de printemps. Nous retenons ici un rendement supérieur correspondant à 35 % de plus que le rendement du blé de printemps. Cette information peut être modifiée pour les exploitations agricoles en indiquant le rendement des productions elles-mêmes dans l'onglet "Saisie" sous la section "Vos rendements".</text>
  </threadedComment>
</ThreadedComments>
</file>

<file path=xl/threadedComments/threadedComment3.xml><?xml version="1.0" encoding="utf-8"?>
<ThreadedComments xmlns="http://schemas.microsoft.com/office/spreadsheetml/2018/threadedcomments" xmlns:x="http://schemas.openxmlformats.org/spreadsheetml/2006/main">
  <threadedComment ref="B3" dT="2023-01-13T20:43:28.80" personId="{1B138244-581F-425F-B91C-347618A20CAD}" id="{55CEE25F-0F2B-49DA-B9A2-B88A782335BC}">
    <text>Les analyses sont effectuées sur trois cycles de rotation. Un cycle de rotation a une durée de 3 ans. Par exemple une rotation MG-Soya-Orge représente un cycle de 3 ans (an 1 = MG, an 2 = Soya et an 3 = Orge).</text>
  </threadedComment>
  <threadedComment ref="N3" dT="2023-01-13T20:44:34.85" personId="{1B138244-581F-425F-B91C-347618A20CAD}" id="{3994BAE7-7CAF-4630-9071-CEFDE89F2647}">
    <text>Les analyses sont effectuées sur trois cycles de rotation. Un cycle de rotation a une durée de 3 ans. Par exemple une rotation MG-Soya-Orge représente un cycle de 3 ans (an 1 = MG, an 2 = Soya et an 3 = Orge).</text>
  </threadedComment>
</ThreadedComments>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marlenethiboutot@concertationgrainsquebec.ca" TargetMode="External"/></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 Id="rId4" Type="http://schemas.microsoft.com/office/2017/10/relationships/threadedComment" Target="../threadedComments/threadedComment1.xm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3" Type="http://schemas.microsoft.com/office/2017/10/relationships/threadedComment" Target="../threadedComments/threadedComment2.xml"/><Relationship Id="rId2" Type="http://schemas.openxmlformats.org/officeDocument/2006/relationships/comments" Target="../comments2.xml"/><Relationship Id="rId1" Type="http://schemas.openxmlformats.org/officeDocument/2006/relationships/vmlDrawing" Target="../drawings/vmlDrawing2.vml"/></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7.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12.bin"/><Relationship Id="rId4" Type="http://schemas.microsoft.com/office/2017/10/relationships/threadedComment" Target="../threadedComments/threadedComment3.xml"/></Relationships>
</file>

<file path=xl/worksheets/_rels/sheet18.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BB2044-8F91-49E0-A23A-08C257DA2917}">
  <sheetPr>
    <tabColor theme="5" tint="0.79998168889431442"/>
  </sheetPr>
  <dimension ref="A1:H23"/>
  <sheetViews>
    <sheetView zoomScaleNormal="100" workbookViewId="0"/>
  </sheetViews>
  <sheetFormatPr baseColWidth="10" defaultColWidth="10.85546875" defaultRowHeight="15" x14ac:dyDescent="0.25"/>
  <cols>
    <col min="1" max="1" width="17.85546875" customWidth="1"/>
  </cols>
  <sheetData>
    <row r="1" spans="1:8" x14ac:dyDescent="0.25">
      <c r="A1" s="8" t="s">
        <v>32</v>
      </c>
      <c r="B1" s="9"/>
      <c r="C1" s="9"/>
      <c r="D1" s="9"/>
      <c r="E1" s="9"/>
      <c r="F1" s="9"/>
      <c r="G1" s="9"/>
      <c r="H1" s="9"/>
    </row>
    <row r="2" spans="1:8" ht="27.75" customHeight="1" x14ac:dyDescent="0.25">
      <c r="A2" s="80" t="s">
        <v>117</v>
      </c>
      <c r="B2" s="80"/>
      <c r="C2" s="80"/>
      <c r="D2" s="80"/>
      <c r="E2" s="80"/>
      <c r="F2" s="80"/>
      <c r="G2" s="80"/>
      <c r="H2" s="80"/>
    </row>
    <row r="4" spans="1:8" x14ac:dyDescent="0.25">
      <c r="A4" s="8" t="s">
        <v>33</v>
      </c>
      <c r="B4" s="9"/>
      <c r="C4" s="9"/>
      <c r="D4" s="9"/>
      <c r="E4" s="9"/>
      <c r="F4" s="9"/>
      <c r="G4" s="9"/>
      <c r="H4" s="9"/>
    </row>
    <row r="5" spans="1:8" ht="198.75" customHeight="1" x14ac:dyDescent="0.25">
      <c r="A5" s="10" t="s">
        <v>34</v>
      </c>
      <c r="B5" s="80" t="s">
        <v>124</v>
      </c>
      <c r="C5" s="80"/>
      <c r="D5" s="80"/>
      <c r="E5" s="80"/>
      <c r="F5" s="80"/>
      <c r="G5" s="80"/>
      <c r="H5" s="80"/>
    </row>
    <row r="6" spans="1:8" ht="75.75" customHeight="1" x14ac:dyDescent="0.25">
      <c r="A6" s="11" t="s">
        <v>125</v>
      </c>
      <c r="B6" s="80" t="s">
        <v>88</v>
      </c>
      <c r="C6" s="80"/>
      <c r="D6" s="80"/>
      <c r="E6" s="80"/>
      <c r="F6" s="80"/>
      <c r="G6" s="80"/>
      <c r="H6" s="80"/>
    </row>
    <row r="7" spans="1:8" ht="30" hidden="1" x14ac:dyDescent="0.25">
      <c r="A7" s="11" t="s">
        <v>167</v>
      </c>
      <c r="B7" s="81" t="s">
        <v>168</v>
      </c>
      <c r="C7" s="81"/>
      <c r="D7" s="81"/>
      <c r="E7" s="81"/>
      <c r="F7" s="81"/>
      <c r="G7" s="81"/>
      <c r="H7" s="81"/>
    </row>
    <row r="8" spans="1:8" ht="32.450000000000003" hidden="1" customHeight="1" x14ac:dyDescent="0.25">
      <c r="A8" s="11" t="s">
        <v>102</v>
      </c>
      <c r="B8" s="81" t="s">
        <v>169</v>
      </c>
      <c r="C8" s="81"/>
      <c r="D8" s="81"/>
      <c r="E8" s="81"/>
      <c r="F8" s="81"/>
      <c r="G8" s="81"/>
      <c r="H8" s="81"/>
    </row>
    <row r="9" spans="1:8" ht="32.450000000000003" hidden="1" customHeight="1" x14ac:dyDescent="0.25">
      <c r="A9" s="11" t="s">
        <v>89</v>
      </c>
      <c r="B9" s="80" t="s">
        <v>92</v>
      </c>
      <c r="C9" s="80"/>
      <c r="D9" s="80"/>
      <c r="E9" s="80"/>
      <c r="F9" s="80"/>
      <c r="G9" s="80"/>
      <c r="H9" s="80"/>
    </row>
    <row r="10" spans="1:8" ht="32.450000000000003" hidden="1" customHeight="1" x14ac:dyDescent="0.25">
      <c r="A10" s="11" t="s">
        <v>90</v>
      </c>
      <c r="B10" s="80" t="s">
        <v>91</v>
      </c>
      <c r="C10" s="80"/>
      <c r="D10" s="80"/>
      <c r="E10" s="80"/>
      <c r="F10" s="80"/>
      <c r="G10" s="80"/>
      <c r="H10" s="80"/>
    </row>
    <row r="11" spans="1:8" ht="34.5" hidden="1" customHeight="1" x14ac:dyDescent="0.25">
      <c r="A11" s="11" t="s">
        <v>93</v>
      </c>
      <c r="B11" s="80" t="s">
        <v>94</v>
      </c>
      <c r="C11" s="80"/>
      <c r="D11" s="80"/>
      <c r="E11" s="80"/>
      <c r="F11" s="80"/>
      <c r="G11" s="80"/>
      <c r="H11" s="80"/>
    </row>
    <row r="12" spans="1:8" ht="44.1" customHeight="1" x14ac:dyDescent="0.25">
      <c r="A12" s="11" t="s">
        <v>164</v>
      </c>
      <c r="B12" s="80" t="s">
        <v>95</v>
      </c>
      <c r="C12" s="80"/>
      <c r="D12" s="80"/>
      <c r="E12" s="80"/>
      <c r="F12" s="80"/>
      <c r="G12" s="80"/>
      <c r="H12" s="80"/>
    </row>
    <row r="13" spans="1:8" ht="56.45" customHeight="1" x14ac:dyDescent="0.25">
      <c r="A13" s="11" t="s">
        <v>165</v>
      </c>
      <c r="B13" s="81" t="s">
        <v>170</v>
      </c>
      <c r="C13" s="81"/>
      <c r="D13" s="81"/>
      <c r="E13" s="81"/>
      <c r="F13" s="81"/>
      <c r="G13" s="81"/>
      <c r="H13" s="81"/>
    </row>
    <row r="15" spans="1:8" x14ac:dyDescent="0.25">
      <c r="A15" s="8" t="s">
        <v>35</v>
      </c>
      <c r="B15" s="9"/>
      <c r="C15" s="9"/>
      <c r="D15" s="9"/>
      <c r="E15" s="9"/>
      <c r="F15" s="9"/>
      <c r="G15" s="9"/>
      <c r="H15" s="9"/>
    </row>
    <row r="16" spans="1:8" ht="78" customHeight="1" x14ac:dyDescent="0.25">
      <c r="A16" s="80" t="s">
        <v>126</v>
      </c>
      <c r="B16" s="80"/>
      <c r="C16" s="80"/>
      <c r="D16" s="80"/>
      <c r="E16" s="80"/>
      <c r="F16" s="80"/>
      <c r="G16" s="80"/>
      <c r="H16" s="80"/>
    </row>
    <row r="18" spans="1:8" x14ac:dyDescent="0.25">
      <c r="A18" s="8" t="s">
        <v>36</v>
      </c>
      <c r="B18" s="9"/>
      <c r="C18" s="9"/>
      <c r="D18" s="9"/>
      <c r="E18" s="9"/>
      <c r="F18" s="9"/>
      <c r="G18" s="9"/>
      <c r="H18" s="9"/>
    </row>
    <row r="19" spans="1:8" x14ac:dyDescent="0.25">
      <c r="A19" s="80" t="s">
        <v>127</v>
      </c>
      <c r="B19" s="80"/>
      <c r="C19" s="80"/>
      <c r="D19" s="80"/>
      <c r="E19" s="80"/>
      <c r="F19" s="80"/>
      <c r="G19" s="80"/>
      <c r="H19" s="80"/>
    </row>
    <row r="20" spans="1:8" x14ac:dyDescent="0.25">
      <c r="A20" s="40" t="s">
        <v>128</v>
      </c>
    </row>
    <row r="22" spans="1:8" x14ac:dyDescent="0.25">
      <c r="A22" s="8" t="s">
        <v>166</v>
      </c>
      <c r="B22" s="9"/>
      <c r="C22" s="9"/>
      <c r="D22" s="9"/>
      <c r="E22" s="9"/>
      <c r="F22" s="9"/>
      <c r="G22" s="9"/>
      <c r="H22" s="9"/>
    </row>
    <row r="23" spans="1:8" ht="46.7" customHeight="1" x14ac:dyDescent="0.25">
      <c r="A23" s="79" t="s">
        <v>171</v>
      </c>
      <c r="B23" s="79"/>
      <c r="C23" s="79"/>
      <c r="D23" s="79"/>
      <c r="E23" s="79"/>
      <c r="F23" s="79"/>
      <c r="G23" s="79"/>
      <c r="H23" s="79"/>
    </row>
  </sheetData>
  <mergeCells count="13">
    <mergeCell ref="A23:H23"/>
    <mergeCell ref="A19:H19"/>
    <mergeCell ref="A2:H2"/>
    <mergeCell ref="B5:H5"/>
    <mergeCell ref="B6:H6"/>
    <mergeCell ref="A16:H16"/>
    <mergeCell ref="B9:H9"/>
    <mergeCell ref="B10:H10"/>
    <mergeCell ref="B11:H11"/>
    <mergeCell ref="B12:H12"/>
    <mergeCell ref="B7:H7"/>
    <mergeCell ref="B8:H8"/>
    <mergeCell ref="B13:H13"/>
  </mergeCells>
  <hyperlinks>
    <hyperlink ref="A20" r:id="rId1" xr:uid="{AD652633-1B6B-4A7B-B317-A5A36C14E420}"/>
  </hyperlinks>
  <pageMargins left="0.7" right="0.7" top="0.75" bottom="0.75" header="0.3" footer="0.3"/>
  <pageSetup scale="93" orientation="portrait" r:id="rId2"/>
  <colBreaks count="1" manualBreakCount="1">
    <brk id="8" max="1048575" man="1"/>
  </colBreak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AD4843-BFF4-4618-A90C-C8ABAD344A8D}">
  <sheetPr>
    <tabColor theme="5" tint="0.79998168889431442"/>
  </sheetPr>
  <dimension ref="A1:C67"/>
  <sheetViews>
    <sheetView zoomScaleNormal="100" workbookViewId="0"/>
  </sheetViews>
  <sheetFormatPr baseColWidth="10" defaultColWidth="10.85546875" defaultRowHeight="15" x14ac:dyDescent="0.25"/>
  <cols>
    <col min="1" max="1" width="24.85546875" customWidth="1"/>
    <col min="2" max="2" width="31.42578125" customWidth="1"/>
    <col min="3" max="3" width="22.85546875" customWidth="1"/>
  </cols>
  <sheetData>
    <row r="1" spans="1:3" x14ac:dyDescent="0.25">
      <c r="A1" s="8" t="s">
        <v>30</v>
      </c>
      <c r="B1" s="9" t="s">
        <v>7</v>
      </c>
    </row>
    <row r="2" spans="1:3" x14ac:dyDescent="0.25">
      <c r="A2" s="8" t="s">
        <v>31</v>
      </c>
      <c r="B2" s="9" t="s">
        <v>113</v>
      </c>
    </row>
    <row r="4" spans="1:3" x14ac:dyDescent="0.25">
      <c r="A4" s="8" t="s">
        <v>28</v>
      </c>
      <c r="B4" s="9"/>
      <c r="C4" s="9"/>
    </row>
    <row r="5" spans="1:3" ht="57" customHeight="1" x14ac:dyDescent="0.25">
      <c r="A5" s="80" t="s">
        <v>4</v>
      </c>
      <c r="B5" s="80"/>
      <c r="C5" s="80"/>
    </row>
    <row r="6" spans="1:3" x14ac:dyDescent="0.25">
      <c r="B6" s="83" t="s">
        <v>155</v>
      </c>
      <c r="C6" s="83"/>
    </row>
    <row r="7" spans="1:3" x14ac:dyDescent="0.25">
      <c r="B7" s="18" t="s">
        <v>5</v>
      </c>
      <c r="C7" s="19" t="s">
        <v>6</v>
      </c>
    </row>
    <row r="8" spans="1:3" x14ac:dyDescent="0.25">
      <c r="A8" t="s">
        <v>0</v>
      </c>
      <c r="B8">
        <f>Rendements_CECPA!B3</f>
        <v>8.5</v>
      </c>
      <c r="C8" s="20"/>
    </row>
    <row r="9" spans="1:3" x14ac:dyDescent="0.25">
      <c r="A9" t="s">
        <v>1</v>
      </c>
      <c r="B9">
        <f>Rendements_CECPA!B4</f>
        <v>2.6</v>
      </c>
      <c r="C9" s="20"/>
    </row>
    <row r="10" spans="1:3" x14ac:dyDescent="0.25">
      <c r="A10" t="s">
        <v>2</v>
      </c>
      <c r="B10">
        <f>Rendements_CECPA!B5</f>
        <v>2.9</v>
      </c>
      <c r="C10" s="20"/>
    </row>
    <row r="11" spans="1:3" x14ac:dyDescent="0.25">
      <c r="A11" t="s">
        <v>3</v>
      </c>
      <c r="B11">
        <f>Rendements_CECPA!B6</f>
        <v>2.2000000000000002</v>
      </c>
      <c r="C11" s="20"/>
    </row>
    <row r="12" spans="1:3" x14ac:dyDescent="0.25">
      <c r="A12" t="s">
        <v>149</v>
      </c>
      <c r="B12">
        <f>Rendements_CECPA!B8</f>
        <v>2.4</v>
      </c>
      <c r="C12" s="20"/>
    </row>
    <row r="13" spans="1:3" x14ac:dyDescent="0.25">
      <c r="A13" t="s">
        <v>150</v>
      </c>
      <c r="B13" s="39">
        <f>Rendements_CECPA!B7</f>
        <v>3.2</v>
      </c>
      <c r="C13" s="20"/>
    </row>
    <row r="14" spans="1:3" x14ac:dyDescent="0.25">
      <c r="A14" s="49" t="s">
        <v>114</v>
      </c>
      <c r="B14" s="49">
        <f>Rendements_CECPA!B9</f>
        <v>2.1</v>
      </c>
      <c r="C14" s="20"/>
    </row>
    <row r="15" spans="1:3" x14ac:dyDescent="0.25">
      <c r="A15" t="s">
        <v>151</v>
      </c>
      <c r="B15" s="39">
        <f>Rendements_CECPA!B10</f>
        <v>4.2</v>
      </c>
      <c r="C15" s="20"/>
    </row>
    <row r="17" spans="1:3" x14ac:dyDescent="0.25">
      <c r="A17" s="8" t="s">
        <v>29</v>
      </c>
      <c r="B17" s="9"/>
      <c r="C17" s="9"/>
    </row>
    <row r="18" spans="1:3" ht="43.7" customHeight="1" x14ac:dyDescent="0.25">
      <c r="A18" s="80" t="s">
        <v>10</v>
      </c>
      <c r="B18" s="80"/>
      <c r="C18" s="80"/>
    </row>
    <row r="19" spans="1:3" x14ac:dyDescent="0.25">
      <c r="B19" s="83" t="s">
        <v>152</v>
      </c>
      <c r="C19" s="83"/>
    </row>
    <row r="20" spans="1:3" x14ac:dyDescent="0.25">
      <c r="B20" s="18" t="s">
        <v>8</v>
      </c>
      <c r="C20" s="19" t="s">
        <v>9</v>
      </c>
    </row>
    <row r="21" spans="1:3" x14ac:dyDescent="0.25">
      <c r="A21" t="s">
        <v>0</v>
      </c>
      <c r="B21" s="36">
        <f>Prix_CECPA!B3</f>
        <v>431.7</v>
      </c>
      <c r="C21" s="20"/>
    </row>
    <row r="22" spans="1:3" x14ac:dyDescent="0.25">
      <c r="A22" t="s">
        <v>1</v>
      </c>
      <c r="B22" s="36">
        <f>Prix_CECPA!B4</f>
        <v>1018</v>
      </c>
      <c r="C22" s="20"/>
    </row>
    <row r="23" spans="1:3" x14ac:dyDescent="0.25">
      <c r="A23" t="s">
        <v>2</v>
      </c>
      <c r="B23" s="36">
        <f>Prix_CECPA!B5</f>
        <v>565</v>
      </c>
      <c r="C23" s="20"/>
    </row>
    <row r="24" spans="1:3" x14ac:dyDescent="0.25">
      <c r="A24" t="s">
        <v>3</v>
      </c>
      <c r="B24" s="36">
        <f>Prix_CECPA!B6</f>
        <v>435</v>
      </c>
      <c r="C24" s="20"/>
    </row>
    <row r="25" spans="1:3" x14ac:dyDescent="0.25">
      <c r="A25" t="s">
        <v>149</v>
      </c>
      <c r="B25" s="36">
        <f>Prix_CECPA!B8</f>
        <v>569.79999999999995</v>
      </c>
      <c r="C25" s="20"/>
    </row>
    <row r="26" spans="1:3" x14ac:dyDescent="0.25">
      <c r="A26" t="s">
        <v>150</v>
      </c>
      <c r="B26" s="36">
        <f>Prix_CECPA!B7</f>
        <v>569.79999999999995</v>
      </c>
      <c r="C26" s="20"/>
    </row>
    <row r="27" spans="1:3" x14ac:dyDescent="0.25">
      <c r="A27" s="49" t="s">
        <v>114</v>
      </c>
      <c r="B27" s="50">
        <f>Prix_CECPA!B9</f>
        <v>462.5</v>
      </c>
      <c r="C27" s="20"/>
    </row>
    <row r="28" spans="1:3" x14ac:dyDescent="0.25">
      <c r="A28" t="s">
        <v>151</v>
      </c>
      <c r="B28" s="36">
        <f>Prix_CECPA!B10</f>
        <v>462.5</v>
      </c>
      <c r="C28" s="20"/>
    </row>
    <row r="30" spans="1:3" x14ac:dyDescent="0.25">
      <c r="A30" s="8" t="s">
        <v>77</v>
      </c>
      <c r="B30" s="9"/>
      <c r="C30" s="9"/>
    </row>
    <row r="31" spans="1:3" ht="75" customHeight="1" x14ac:dyDescent="0.25">
      <c r="A31" s="80" t="s">
        <v>96</v>
      </c>
      <c r="B31" s="80"/>
      <c r="C31" s="80"/>
    </row>
    <row r="32" spans="1:3" ht="14.45" customHeight="1" x14ac:dyDescent="0.25">
      <c r="A32" s="29"/>
      <c r="B32" s="29"/>
      <c r="C32" s="29"/>
    </row>
    <row r="33" spans="1:3" ht="14.45" customHeight="1" x14ac:dyDescent="0.25">
      <c r="A33" s="29"/>
      <c r="B33" s="26" t="s">
        <v>102</v>
      </c>
      <c r="C33" s="29"/>
    </row>
    <row r="34" spans="1:3" ht="27" customHeight="1" x14ac:dyDescent="0.25">
      <c r="A34" s="29" t="s">
        <v>110</v>
      </c>
      <c r="B34" s="20" t="s">
        <v>153</v>
      </c>
      <c r="C34" s="29"/>
    </row>
    <row r="35" spans="1:3" ht="14.45" customHeight="1" x14ac:dyDescent="0.25">
      <c r="A35" s="29"/>
      <c r="B35" s="29"/>
      <c r="C35" s="29"/>
    </row>
    <row r="36" spans="1:3" ht="14.45" customHeight="1" x14ac:dyDescent="0.25">
      <c r="A36" s="29"/>
      <c r="B36" s="29"/>
      <c r="C36" s="29"/>
    </row>
    <row r="37" spans="1:3" x14ac:dyDescent="0.25">
      <c r="B37" s="82" t="s">
        <v>79</v>
      </c>
      <c r="C37" s="82"/>
    </row>
    <row r="38" spans="1:3" x14ac:dyDescent="0.25">
      <c r="B38" s="18" t="s">
        <v>79</v>
      </c>
      <c r="C38" s="19" t="s">
        <v>80</v>
      </c>
    </row>
    <row r="39" spans="1:3" x14ac:dyDescent="0.25">
      <c r="A39" t="s">
        <v>0</v>
      </c>
      <c r="B39" s="48">
        <v>0</v>
      </c>
      <c r="C39" s="47"/>
    </row>
    <row r="40" spans="1:3" x14ac:dyDescent="0.25">
      <c r="A40" t="s">
        <v>1</v>
      </c>
      <c r="B40" s="27">
        <v>0</v>
      </c>
      <c r="C40" s="20"/>
    </row>
    <row r="41" spans="1:3" x14ac:dyDescent="0.25">
      <c r="A41" t="s">
        <v>2</v>
      </c>
      <c r="B41" s="27">
        <v>0</v>
      </c>
      <c r="C41" s="20"/>
    </row>
    <row r="42" spans="1:3" x14ac:dyDescent="0.25">
      <c r="A42" t="s">
        <v>3</v>
      </c>
      <c r="B42" s="27">
        <v>0</v>
      </c>
      <c r="C42" s="20"/>
    </row>
    <row r="43" spans="1:3" x14ac:dyDescent="0.25">
      <c r="A43" t="s">
        <v>24</v>
      </c>
      <c r="B43" s="27">
        <v>0</v>
      </c>
      <c r="C43" s="20"/>
    </row>
    <row r="44" spans="1:3" x14ac:dyDescent="0.25">
      <c r="A44" t="s">
        <v>23</v>
      </c>
      <c r="B44" s="27">
        <v>0</v>
      </c>
      <c r="C44" s="20"/>
    </row>
    <row r="45" spans="1:3" x14ac:dyDescent="0.25">
      <c r="A45" t="s">
        <v>114</v>
      </c>
      <c r="B45" s="27">
        <v>0</v>
      </c>
      <c r="C45" s="20"/>
    </row>
    <row r="46" spans="1:3" x14ac:dyDescent="0.25">
      <c r="A46" t="s">
        <v>76</v>
      </c>
      <c r="B46" s="27">
        <v>0</v>
      </c>
      <c r="C46" s="20"/>
    </row>
    <row r="48" spans="1:3" x14ac:dyDescent="0.25">
      <c r="B48" s="82" t="s">
        <v>82</v>
      </c>
      <c r="C48" s="82"/>
    </row>
    <row r="49" spans="1:3" x14ac:dyDescent="0.25">
      <c r="B49" s="18" t="s">
        <v>82</v>
      </c>
      <c r="C49" s="19" t="s">
        <v>84</v>
      </c>
    </row>
    <row r="50" spans="1:3" x14ac:dyDescent="0.25">
      <c r="A50" t="s">
        <v>83</v>
      </c>
      <c r="B50">
        <f>IF(B34="Oui",100,0)</f>
        <v>100</v>
      </c>
      <c r="C50" s="20"/>
    </row>
    <row r="51" spans="1:3" x14ac:dyDescent="0.25">
      <c r="A51" t="s">
        <v>115</v>
      </c>
      <c r="B51" s="3">
        <f>0.7</f>
        <v>0.7</v>
      </c>
      <c r="C51" s="20"/>
    </row>
    <row r="53" spans="1:3" ht="47.1" customHeight="1" x14ac:dyDescent="0.25">
      <c r="A53" s="81" t="s">
        <v>81</v>
      </c>
      <c r="B53" s="81"/>
      <c r="C53" s="81"/>
    </row>
    <row r="55" spans="1:3" x14ac:dyDescent="0.25">
      <c r="A55" s="8" t="s">
        <v>172</v>
      </c>
      <c r="B55" s="9"/>
      <c r="C55" s="9"/>
    </row>
    <row r="56" spans="1:3" ht="87" customHeight="1" x14ac:dyDescent="0.25">
      <c r="A56" s="80" t="s">
        <v>173</v>
      </c>
      <c r="B56" s="80"/>
      <c r="C56" s="80"/>
    </row>
    <row r="57" spans="1:3" x14ac:dyDescent="0.25">
      <c r="B57" s="82" t="s">
        <v>85</v>
      </c>
      <c r="C57" s="82"/>
    </row>
    <row r="58" spans="1:3" x14ac:dyDescent="0.25">
      <c r="B58" s="18" t="s">
        <v>86</v>
      </c>
      <c r="C58" s="19" t="s">
        <v>87</v>
      </c>
    </row>
    <row r="59" spans="1:3" x14ac:dyDescent="0.25">
      <c r="A59" t="s">
        <v>174</v>
      </c>
      <c r="B59" s="58">
        <v>0</v>
      </c>
      <c r="C59" s="59"/>
    </row>
    <row r="60" spans="1:3" x14ac:dyDescent="0.25">
      <c r="A60" t="s">
        <v>175</v>
      </c>
      <c r="B60" s="58">
        <v>0.5</v>
      </c>
      <c r="C60" s="59"/>
    </row>
    <row r="61" spans="1:3" x14ac:dyDescent="0.25">
      <c r="A61" t="s">
        <v>176</v>
      </c>
      <c r="B61" s="58">
        <v>1</v>
      </c>
      <c r="C61" s="59"/>
    </row>
    <row r="63" spans="1:3" x14ac:dyDescent="0.25">
      <c r="A63" s="8" t="s">
        <v>132</v>
      </c>
      <c r="B63" s="9"/>
      <c r="C63" s="9"/>
    </row>
    <row r="64" spans="1:3" ht="31.5" customHeight="1" x14ac:dyDescent="0.25">
      <c r="A64" s="84" t="s">
        <v>133</v>
      </c>
      <c r="B64" s="84"/>
      <c r="C64" s="84"/>
    </row>
    <row r="65" spans="2:3" x14ac:dyDescent="0.25">
      <c r="B65" s="82" t="s">
        <v>134</v>
      </c>
      <c r="C65" s="82"/>
    </row>
    <row r="66" spans="2:3" x14ac:dyDescent="0.25">
      <c r="B66" s="18" t="s">
        <v>134</v>
      </c>
      <c r="C66" s="19" t="s">
        <v>135</v>
      </c>
    </row>
    <row r="67" spans="2:3" x14ac:dyDescent="0.25">
      <c r="B67" s="41">
        <v>0</v>
      </c>
      <c r="C67" s="42"/>
    </row>
  </sheetData>
  <mergeCells count="12">
    <mergeCell ref="A64:C64"/>
    <mergeCell ref="B65:C65"/>
    <mergeCell ref="A53:C53"/>
    <mergeCell ref="B48:C48"/>
    <mergeCell ref="A56:C56"/>
    <mergeCell ref="B57:C57"/>
    <mergeCell ref="B37:C37"/>
    <mergeCell ref="B6:C6"/>
    <mergeCell ref="A5:C5"/>
    <mergeCell ref="A18:C18"/>
    <mergeCell ref="B19:C19"/>
    <mergeCell ref="A31:C31"/>
  </mergeCells>
  <dataValidations count="1">
    <dataValidation type="list" allowBlank="1" showInputMessage="1" showErrorMessage="1" sqref="B34" xr:uid="{23656E4D-5E82-4179-ABC2-34A18AEBA6BE}">
      <formula1>"Oui, Non"</formula1>
    </dataValidation>
  </dataValidations>
  <pageMargins left="0.7" right="0.7" top="0.75" bottom="0.75" header="0.3" footer="0.3"/>
  <pageSetup orientation="portrait" r:id="rId1"/>
  <legacy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E7F11C-0202-44A0-AA99-0B02328B7BB6}">
  <dimension ref="A1:E12"/>
  <sheetViews>
    <sheetView zoomScaleNormal="100" workbookViewId="0">
      <selection sqref="A1:E1"/>
    </sheetView>
  </sheetViews>
  <sheetFormatPr baseColWidth="10" defaultColWidth="10.85546875" defaultRowHeight="15" x14ac:dyDescent="0.25"/>
  <cols>
    <col min="2" max="2" width="16.5703125" customWidth="1"/>
    <col min="3" max="3" width="41.85546875" customWidth="1"/>
    <col min="4" max="4" width="59" customWidth="1"/>
    <col min="5" max="5" width="50.5703125" customWidth="1"/>
  </cols>
  <sheetData>
    <row r="1" spans="1:5" x14ac:dyDescent="0.25">
      <c r="A1" s="82" t="s">
        <v>101</v>
      </c>
      <c r="B1" s="82"/>
      <c r="C1" s="82"/>
      <c r="D1" s="82"/>
      <c r="E1" s="82"/>
    </row>
    <row r="2" spans="1:5" x14ac:dyDescent="0.25">
      <c r="A2" s="1" t="s">
        <v>58</v>
      </c>
      <c r="B2" s="1" t="s">
        <v>59</v>
      </c>
      <c r="C2" s="1" t="s">
        <v>63</v>
      </c>
      <c r="D2" s="1" t="s">
        <v>60</v>
      </c>
      <c r="E2" s="1" t="s">
        <v>61</v>
      </c>
    </row>
    <row r="3" spans="1:5" ht="165" x14ac:dyDescent="0.25">
      <c r="A3" s="24">
        <v>2015</v>
      </c>
      <c r="B3" s="24" t="s">
        <v>62</v>
      </c>
      <c r="C3" s="25" t="s">
        <v>119</v>
      </c>
      <c r="D3" s="25" t="s">
        <v>120</v>
      </c>
      <c r="E3" s="25" t="s">
        <v>118</v>
      </c>
    </row>
    <row r="4" spans="1:5" ht="105" x14ac:dyDescent="0.25">
      <c r="A4" s="24">
        <v>2013</v>
      </c>
      <c r="B4" s="24" t="s">
        <v>62</v>
      </c>
      <c r="C4" s="25" t="s">
        <v>64</v>
      </c>
      <c r="D4" s="25" t="s">
        <v>65</v>
      </c>
      <c r="E4" s="85" t="s">
        <v>75</v>
      </c>
    </row>
    <row r="5" spans="1:5" ht="75" x14ac:dyDescent="0.25">
      <c r="A5" s="24">
        <v>2009</v>
      </c>
      <c r="B5" s="24" t="s">
        <v>66</v>
      </c>
      <c r="C5" s="25" t="s">
        <v>67</v>
      </c>
      <c r="D5" s="25" t="s">
        <v>68</v>
      </c>
      <c r="E5" s="85"/>
    </row>
    <row r="6" spans="1:5" ht="90" x14ac:dyDescent="0.25">
      <c r="A6" s="24">
        <v>2011</v>
      </c>
      <c r="B6" s="25" t="s">
        <v>69</v>
      </c>
      <c r="C6" s="25" t="s">
        <v>70</v>
      </c>
      <c r="D6" s="25" t="s">
        <v>71</v>
      </c>
      <c r="E6" s="85"/>
    </row>
    <row r="7" spans="1:5" ht="60" x14ac:dyDescent="0.25">
      <c r="A7" s="24">
        <v>2014</v>
      </c>
      <c r="B7" s="24" t="s">
        <v>72</v>
      </c>
      <c r="C7" s="25" t="s">
        <v>73</v>
      </c>
      <c r="D7" s="25" t="s">
        <v>74</v>
      </c>
      <c r="E7" s="85"/>
    </row>
    <row r="10" spans="1:5" x14ac:dyDescent="0.25">
      <c r="A10" s="82" t="s">
        <v>102</v>
      </c>
      <c r="B10" s="82"/>
      <c r="C10" s="82"/>
      <c r="D10" s="82"/>
      <c r="E10" s="82"/>
    </row>
    <row r="11" spans="1:5" x14ac:dyDescent="0.25">
      <c r="A11" s="1" t="s">
        <v>58</v>
      </c>
      <c r="B11" s="1" t="s">
        <v>59</v>
      </c>
      <c r="C11" s="1" t="s">
        <v>102</v>
      </c>
      <c r="D11" s="1" t="s">
        <v>60</v>
      </c>
      <c r="E11" s="1" t="s">
        <v>61</v>
      </c>
    </row>
    <row r="12" spans="1:5" ht="90" x14ac:dyDescent="0.25">
      <c r="A12" s="24">
        <v>2022</v>
      </c>
      <c r="B12" s="24" t="s">
        <v>100</v>
      </c>
      <c r="C12" s="25" t="s">
        <v>104</v>
      </c>
      <c r="D12" s="25" t="s">
        <v>103</v>
      </c>
      <c r="E12" s="25" t="s">
        <v>105</v>
      </c>
    </row>
  </sheetData>
  <mergeCells count="3">
    <mergeCell ref="E4:E7"/>
    <mergeCell ref="A1:E1"/>
    <mergeCell ref="A10:E10"/>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B73F05-F423-4741-B36F-24CC537B879C}">
  <sheetPr>
    <tabColor theme="5" tint="0.79998168889431442"/>
  </sheetPr>
  <dimension ref="A1:H35"/>
  <sheetViews>
    <sheetView zoomScaleNormal="100" workbookViewId="0"/>
  </sheetViews>
  <sheetFormatPr baseColWidth="10" defaultColWidth="10.85546875" defaultRowHeight="15" outlineLevelRow="1" x14ac:dyDescent="0.25"/>
  <cols>
    <col min="1" max="3" width="13.140625" customWidth="1"/>
    <col min="4" max="4" width="13.140625" hidden="1" customWidth="1"/>
    <col min="5" max="5" width="12.42578125" bestFit="1" customWidth="1"/>
    <col min="6" max="6" width="2.5703125" customWidth="1"/>
  </cols>
  <sheetData>
    <row r="1" spans="1:8" x14ac:dyDescent="0.25">
      <c r="E1" s="2" t="s">
        <v>37</v>
      </c>
      <c r="F1" s="2"/>
      <c r="G1" s="2" t="s">
        <v>37</v>
      </c>
    </row>
    <row r="2" spans="1:8" ht="15.75" x14ac:dyDescent="0.25">
      <c r="E2" s="21" t="s">
        <v>7</v>
      </c>
      <c r="F2" s="12"/>
      <c r="G2" s="22" t="s">
        <v>25</v>
      </c>
    </row>
    <row r="3" spans="1:8" ht="7.35" customHeight="1" x14ac:dyDescent="0.25">
      <c r="E3" s="12"/>
      <c r="F3" s="12"/>
      <c r="G3" s="12"/>
    </row>
    <row r="4" spans="1:8" x14ac:dyDescent="0.25">
      <c r="A4" s="8" t="s">
        <v>12</v>
      </c>
      <c r="B4" s="9"/>
      <c r="C4" s="9"/>
      <c r="D4" s="9"/>
      <c r="E4" s="9"/>
      <c r="F4" s="9"/>
      <c r="G4" s="9"/>
    </row>
    <row r="5" spans="1:8" x14ac:dyDescent="0.25">
      <c r="A5" t="s">
        <v>47</v>
      </c>
      <c r="E5" s="3">
        <f>Saisies!B8*Saisies!B21</f>
        <v>3669.45</v>
      </c>
      <c r="F5" s="3"/>
      <c r="G5" s="3">
        <f>IF(Saisies!C8="",Saisies!B8,Saisies!C8)*IF(Saisies!C21="",Saisies!B21,Saisies!C21)</f>
        <v>3669.45</v>
      </c>
      <c r="H5" t="str">
        <f>IF(G5="","",IF(OR(G5&gt;E5*(1+0.5),G5&lt;E5*(1-0.5)),"La valeur saisie diffère grandement des coûts utilisés dans le modèle. Assurez-vous qu'il ne s'agit pas d'une erreur de saisie",""))</f>
        <v/>
      </c>
    </row>
    <row r="6" spans="1:8" x14ac:dyDescent="0.25">
      <c r="A6" t="s">
        <v>11</v>
      </c>
      <c r="E6" s="3">
        <f>IF(ASRA_Calculs!$B$2&lt;ASRA_Calculs!$C$2,(ASRA_Calculs!$C$2-ASRA_Calculs!$B$2)*ASRA_Calculs!$D$2,0)</f>
        <v>0</v>
      </c>
      <c r="F6" s="3"/>
      <c r="G6" s="3">
        <f>IF(ASRA_Calculs!$B$2&lt;ASRA_Calculs!$C$2,(ASRA_Calculs!$C$2-ASRA_Calculs!$B$2)*ASRA_Calculs!$D$2,0)</f>
        <v>0</v>
      </c>
      <c r="H6" t="str">
        <f t="shared" ref="H6:H9" si="0">IF(G6="","",IF(OR(G6&gt;E6*(1+0.5),G6&lt;E6*(1-0.5)),"La valeur saisie diffère grandement des coûts utilisés dans le modèle. Assurez-vous qu'il ne s'agit pas d'une erreur de saisie",""))</f>
        <v/>
      </c>
    </row>
    <row r="7" spans="1:8" x14ac:dyDescent="0.25">
      <c r="A7" t="s">
        <v>17</v>
      </c>
      <c r="E7" s="3">
        <v>0</v>
      </c>
      <c r="F7" s="3"/>
      <c r="G7" s="5"/>
      <c r="H7" t="str">
        <f t="shared" si="0"/>
        <v/>
      </c>
    </row>
    <row r="8" spans="1:8" outlineLevel="1" x14ac:dyDescent="0.25">
      <c r="A8" s="30" t="s">
        <v>145</v>
      </c>
      <c r="E8" s="3">
        <f>(E5-E16)*0.042</f>
        <v>144.01086000000001</v>
      </c>
      <c r="F8" s="3"/>
      <c r="G8" s="3">
        <f>(G5-G16)*0.042</f>
        <v>154.11690000000002</v>
      </c>
    </row>
    <row r="9" spans="1:8" outlineLevel="1" x14ac:dyDescent="0.25">
      <c r="A9" s="30" t="s">
        <v>18</v>
      </c>
      <c r="E9" s="3">
        <f>E10-E8</f>
        <v>74.69914</v>
      </c>
      <c r="F9" s="3"/>
      <c r="G9" s="5"/>
      <c r="H9" t="str">
        <f t="shared" si="0"/>
        <v/>
      </c>
    </row>
    <row r="10" spans="1:8" x14ac:dyDescent="0.25">
      <c r="A10" s="1" t="s">
        <v>18</v>
      </c>
      <c r="E10" s="4">
        <v>218.71</v>
      </c>
      <c r="F10" s="3"/>
      <c r="G10" s="43">
        <f>SUM(G8:G9)</f>
        <v>154.11690000000002</v>
      </c>
    </row>
    <row r="11" spans="1:8" x14ac:dyDescent="0.25">
      <c r="E11" s="3"/>
      <c r="F11" s="3"/>
      <c r="G11" s="3"/>
    </row>
    <row r="12" spans="1:8" x14ac:dyDescent="0.25">
      <c r="A12" s="1" t="s">
        <v>13</v>
      </c>
      <c r="E12" s="6">
        <f>SUM(E5:E7)+E10</f>
        <v>3888.16</v>
      </c>
      <c r="F12" s="4"/>
      <c r="G12" s="6">
        <f>SUM(G5:G7)+G10</f>
        <v>3823.5668999999998</v>
      </c>
    </row>
    <row r="13" spans="1:8" x14ac:dyDescent="0.25">
      <c r="E13" s="3"/>
      <c r="F13" s="3"/>
      <c r="G13" s="3"/>
    </row>
    <row r="14" spans="1:8" x14ac:dyDescent="0.25">
      <c r="E14" s="3"/>
      <c r="F14" s="3"/>
      <c r="G14" s="3"/>
    </row>
    <row r="15" spans="1:8" x14ac:dyDescent="0.25">
      <c r="A15" s="8" t="s">
        <v>140</v>
      </c>
      <c r="B15" s="9"/>
      <c r="C15" s="9"/>
      <c r="D15" s="9"/>
      <c r="E15" s="9"/>
      <c r="F15" s="9"/>
      <c r="G15" s="9"/>
    </row>
    <row r="16" spans="1:8" x14ac:dyDescent="0.25">
      <c r="A16" t="s">
        <v>78</v>
      </c>
      <c r="E16" s="3">
        <v>240.62</v>
      </c>
      <c r="F16" s="3"/>
      <c r="G16" s="5"/>
      <c r="H16" t="str">
        <f t="shared" ref="H16:H24" si="1">IF(G16="","",IF(OR(G16&gt;E16*(1+0.5),G16&lt;E16*(1-0.5)),"La valeur saisie diffère grandement des coûts utilisés dans le modèle. Assurez-vous qu'il ne s'agit pas d'une erreur de saisie",""))</f>
        <v/>
      </c>
    </row>
    <row r="17" spans="1:8" x14ac:dyDescent="0.25">
      <c r="A17" t="s">
        <v>136</v>
      </c>
      <c r="E17" s="3">
        <v>183.37</v>
      </c>
      <c r="F17" s="3"/>
      <c r="G17" s="5"/>
      <c r="H17" t="str">
        <f t="shared" si="1"/>
        <v/>
      </c>
    </row>
    <row r="18" spans="1:8" x14ac:dyDescent="0.25">
      <c r="A18" t="s">
        <v>14</v>
      </c>
      <c r="D18">
        <f>32.39/8.5</f>
        <v>3.8105882352941176</v>
      </c>
      <c r="E18" s="3">
        <v>32.39</v>
      </c>
      <c r="F18" s="3"/>
      <c r="G18" s="5"/>
    </row>
    <row r="19" spans="1:8" x14ac:dyDescent="0.25">
      <c r="A19" t="s">
        <v>137</v>
      </c>
      <c r="E19" s="3">
        <v>413.65</v>
      </c>
      <c r="F19" s="3"/>
      <c r="G19" s="5"/>
    </row>
    <row r="20" spans="1:8" x14ac:dyDescent="0.25">
      <c r="A20" t="s">
        <v>138</v>
      </c>
      <c r="E20" s="3">
        <v>258.98</v>
      </c>
      <c r="F20" s="3"/>
      <c r="G20" s="5"/>
    </row>
    <row r="21" spans="1:8" x14ac:dyDescent="0.25">
      <c r="A21" t="s">
        <v>139</v>
      </c>
      <c r="D21">
        <f>195.6/8.5</f>
        <v>23.011764705882353</v>
      </c>
      <c r="E21" s="3">
        <v>195.6</v>
      </c>
      <c r="F21" s="3"/>
      <c r="G21" s="5"/>
      <c r="H21" t="str">
        <f t="shared" si="1"/>
        <v/>
      </c>
    </row>
    <row r="22" spans="1:8" x14ac:dyDescent="0.25">
      <c r="A22" t="s">
        <v>142</v>
      </c>
      <c r="E22" s="3">
        <v>95.15</v>
      </c>
      <c r="F22" s="3"/>
      <c r="G22" s="5"/>
      <c r="H22" t="str">
        <f t="shared" si="1"/>
        <v/>
      </c>
    </row>
    <row r="23" spans="1:8" x14ac:dyDescent="0.25">
      <c r="A23" t="s">
        <v>143</v>
      </c>
      <c r="E23" s="3">
        <v>117.13</v>
      </c>
      <c r="F23" s="3"/>
      <c r="G23" s="5"/>
      <c r="H23" t="str">
        <f t="shared" si="1"/>
        <v/>
      </c>
    </row>
    <row r="24" spans="1:8" x14ac:dyDescent="0.25">
      <c r="A24" t="s">
        <v>16</v>
      </c>
      <c r="E24" s="3">
        <v>71.98</v>
      </c>
      <c r="F24" s="3"/>
      <c r="G24" s="5"/>
      <c r="H24" t="str">
        <f t="shared" si="1"/>
        <v/>
      </c>
    </row>
    <row r="25" spans="1:8" x14ac:dyDescent="0.25">
      <c r="B25" s="1" t="s">
        <v>15</v>
      </c>
      <c r="E25" s="6">
        <f>SUM(E16:E24)</f>
        <v>1608.87</v>
      </c>
      <c r="F25" s="4"/>
      <c r="G25" s="6">
        <f>SUM(G16:G24)</f>
        <v>0</v>
      </c>
    </row>
    <row r="26" spans="1:8" x14ac:dyDescent="0.25">
      <c r="E26" s="3"/>
      <c r="F26" s="3"/>
      <c r="G26" s="3"/>
    </row>
    <row r="27" spans="1:8" ht="28.35" customHeight="1" x14ac:dyDescent="0.25">
      <c r="A27" s="86" t="s">
        <v>38</v>
      </c>
      <c r="B27" s="86"/>
      <c r="C27" s="86"/>
      <c r="D27" s="26"/>
      <c r="E27" s="6">
        <f>E12-E25</f>
        <v>2279.29</v>
      </c>
      <c r="F27" s="4"/>
      <c r="G27" s="6">
        <f>G12-G25</f>
        <v>3823.5668999999998</v>
      </c>
    </row>
    <row r="28" spans="1:8" x14ac:dyDescent="0.25">
      <c r="E28" s="3"/>
      <c r="F28" s="3"/>
      <c r="G28" s="3"/>
    </row>
    <row r="29" spans="1:8" x14ac:dyDescent="0.25">
      <c r="A29" s="8" t="s">
        <v>144</v>
      </c>
      <c r="B29" s="9"/>
      <c r="C29" s="9"/>
      <c r="D29" s="9"/>
      <c r="E29" s="9"/>
      <c r="F29" s="9"/>
      <c r="G29" s="9"/>
    </row>
    <row r="30" spans="1:8" x14ac:dyDescent="0.25">
      <c r="A30" t="s">
        <v>19</v>
      </c>
      <c r="E30" s="3">
        <v>363.27</v>
      </c>
      <c r="F30" s="3"/>
      <c r="G30" s="5"/>
      <c r="H30" t="str">
        <f t="shared" ref="H30:H31" si="2">IF(G30="","",IF(OR(G30&gt;E30*(1+0.5),G30&lt;E30*(1-0.5)),"La valeur saisie diffère grandement des coûts utilisés dans le modèle. Assurez-vous qu'il ne s'agit pas d'une erreur de saisie",""))</f>
        <v/>
      </c>
    </row>
    <row r="31" spans="1:8" x14ac:dyDescent="0.25">
      <c r="A31" t="s">
        <v>20</v>
      </c>
      <c r="E31" s="3">
        <v>506.44</v>
      </c>
      <c r="F31" s="3"/>
      <c r="G31" s="5"/>
      <c r="H31" t="str">
        <f t="shared" si="2"/>
        <v/>
      </c>
    </row>
    <row r="32" spans="1:8" x14ac:dyDescent="0.25">
      <c r="B32" s="1" t="s">
        <v>15</v>
      </c>
      <c r="E32" s="4">
        <f>SUM(E30:E31)</f>
        <v>869.71</v>
      </c>
      <c r="F32" s="4"/>
      <c r="G32" s="4">
        <f>SUM(G30:G31)</f>
        <v>0</v>
      </c>
    </row>
    <row r="33" spans="1:7" x14ac:dyDescent="0.25">
      <c r="E33" s="3"/>
      <c r="F33" s="3"/>
      <c r="G33" s="3"/>
    </row>
    <row r="34" spans="1:7" ht="48" customHeight="1" thickBot="1" x14ac:dyDescent="0.3">
      <c r="A34" s="86" t="s">
        <v>39</v>
      </c>
      <c r="B34" s="86"/>
      <c r="C34" s="86"/>
      <c r="D34" s="26"/>
      <c r="E34" s="7">
        <f>E27-E32</f>
        <v>1409.58</v>
      </c>
      <c r="F34" s="4"/>
      <c r="G34" s="7">
        <f>G27-G32</f>
        <v>3823.5668999999998</v>
      </c>
    </row>
    <row r="35" spans="1:7" ht="15.75" thickTop="1" x14ac:dyDescent="0.25"/>
  </sheetData>
  <dataConsolidate/>
  <mergeCells count="2">
    <mergeCell ref="A27:C27"/>
    <mergeCell ref="A34:C34"/>
  </mergeCells>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869544-9CDB-4422-A59B-DA792AC65C6C}">
  <sheetPr>
    <tabColor theme="5" tint="0.79998168889431442"/>
  </sheetPr>
  <dimension ref="A1:H35"/>
  <sheetViews>
    <sheetView zoomScaleNormal="100" workbookViewId="0"/>
  </sheetViews>
  <sheetFormatPr baseColWidth="10" defaultColWidth="10.85546875" defaultRowHeight="15" outlineLevelRow="1" x14ac:dyDescent="0.25"/>
  <cols>
    <col min="1" max="3" width="13.140625" customWidth="1"/>
    <col min="4" max="4" width="13.140625" hidden="1" customWidth="1"/>
    <col min="5" max="5" width="12.42578125" bestFit="1" customWidth="1"/>
    <col min="6" max="6" width="2.5703125" customWidth="1"/>
  </cols>
  <sheetData>
    <row r="1" spans="1:8" x14ac:dyDescent="0.25">
      <c r="E1" s="2" t="s">
        <v>37</v>
      </c>
      <c r="F1" s="2"/>
      <c r="G1" s="2" t="s">
        <v>37</v>
      </c>
    </row>
    <row r="2" spans="1:8" ht="15.75" x14ac:dyDescent="0.25">
      <c r="E2" s="21" t="s">
        <v>7</v>
      </c>
      <c r="F2" s="12"/>
      <c r="G2" s="22" t="s">
        <v>25</v>
      </c>
    </row>
    <row r="3" spans="1:8" ht="7.35" customHeight="1" x14ac:dyDescent="0.25">
      <c r="E3" s="12"/>
      <c r="F3" s="12"/>
      <c r="G3" s="12"/>
    </row>
    <row r="4" spans="1:8" x14ac:dyDescent="0.25">
      <c r="A4" s="8" t="s">
        <v>12</v>
      </c>
      <c r="B4" s="9"/>
      <c r="C4" s="9"/>
      <c r="D4" s="9"/>
      <c r="E4" s="9"/>
      <c r="F4" s="9"/>
      <c r="G4" s="9"/>
    </row>
    <row r="5" spans="1:8" x14ac:dyDescent="0.25">
      <c r="A5" t="s">
        <v>47</v>
      </c>
      <c r="E5" s="3">
        <f>Saisies!B9*Saisies!B22</f>
        <v>2646.8</v>
      </c>
      <c r="F5" s="3"/>
      <c r="G5" s="3">
        <f>IF(Saisies!C9="",Saisies!B9,Saisies!C9)*IF(Saisies!C22="",Saisies!B22,Saisies!C22)</f>
        <v>2646.8</v>
      </c>
      <c r="H5" t="str">
        <f>IF(G5="","",IF(OR(G5&gt;E5*(1+0.5),G5&lt;E5*(1-0.5)),"La valeur saisie diffère grandement des coûts utilisés dans le modèle. Assurez-vous qu'il ne s'agit pas d'une erreur de saisie",""))</f>
        <v/>
      </c>
    </row>
    <row r="6" spans="1:8" x14ac:dyDescent="0.25">
      <c r="A6" t="s">
        <v>11</v>
      </c>
      <c r="E6" s="3">
        <f>IF(ASRA_Calculs!$B$3&lt;ASRA_Calculs!$C$3,(ASRA_Calculs!$C$3-ASRA_Calculs!$B$3)*ASRA_Calculs!$D$3,0)</f>
        <v>0</v>
      </c>
      <c r="F6" s="3"/>
      <c r="G6" s="3">
        <f>IF(ASRA_Calculs!$B$3&lt;ASRA_Calculs!$C$3,(ASRA_Calculs!$C$3-ASRA_Calculs!$B$3)*ASRA_Calculs!$D$3,0)</f>
        <v>0</v>
      </c>
      <c r="H6" t="str">
        <f t="shared" ref="H6:H9" si="0">IF(G6="","",IF(OR(G6&gt;E6*(1+0.5),G6&lt;E6*(1-0.5)),"La valeur saisie diffère grandement des coûts utilisés dans le modèle. Assurez-vous qu'il ne s'agit pas d'une erreur de saisie",""))</f>
        <v/>
      </c>
    </row>
    <row r="7" spans="1:8" x14ac:dyDescent="0.25">
      <c r="A7" t="s">
        <v>17</v>
      </c>
      <c r="E7" s="3">
        <v>0</v>
      </c>
      <c r="F7" s="3"/>
      <c r="G7" s="5"/>
      <c r="H7" t="str">
        <f t="shared" si="0"/>
        <v/>
      </c>
    </row>
    <row r="8" spans="1:8" outlineLevel="1" x14ac:dyDescent="0.25">
      <c r="A8" s="30" t="s">
        <v>145</v>
      </c>
      <c r="E8" s="3">
        <f>(E5-E16)*0.042</f>
        <v>102.17256000000002</v>
      </c>
      <c r="F8" s="3"/>
      <c r="G8" s="3">
        <f>(G5-G16)*0.042</f>
        <v>111.16560000000001</v>
      </c>
    </row>
    <row r="9" spans="1:8" outlineLevel="1" x14ac:dyDescent="0.25">
      <c r="A9" s="30" t="s">
        <v>18</v>
      </c>
      <c r="E9" s="3">
        <f>E10-E8</f>
        <v>61.04743999999998</v>
      </c>
      <c r="F9" s="3"/>
      <c r="G9" s="5"/>
      <c r="H9" t="str">
        <f t="shared" si="0"/>
        <v/>
      </c>
    </row>
    <row r="10" spans="1:8" x14ac:dyDescent="0.25">
      <c r="A10" s="1" t="s">
        <v>18</v>
      </c>
      <c r="E10" s="4">
        <v>163.22</v>
      </c>
      <c r="F10" s="3"/>
      <c r="G10" s="43">
        <f>SUM(G8:G9)</f>
        <v>111.16560000000001</v>
      </c>
    </row>
    <row r="11" spans="1:8" x14ac:dyDescent="0.25">
      <c r="E11" s="3"/>
      <c r="F11" s="3"/>
      <c r="G11" s="3"/>
    </row>
    <row r="12" spans="1:8" x14ac:dyDescent="0.25">
      <c r="A12" s="1" t="s">
        <v>13</v>
      </c>
      <c r="E12" s="6">
        <f>SUM(E5:E7)+E10</f>
        <v>2810.02</v>
      </c>
      <c r="F12" s="4"/>
      <c r="G12" s="6">
        <f>SUM(G5:G7)+G10</f>
        <v>2757.9656</v>
      </c>
    </row>
    <row r="13" spans="1:8" x14ac:dyDescent="0.25">
      <c r="E13" s="3"/>
      <c r="F13" s="3"/>
      <c r="G13" s="3"/>
    </row>
    <row r="14" spans="1:8" x14ac:dyDescent="0.25">
      <c r="E14" s="3"/>
      <c r="F14" s="3"/>
      <c r="G14" s="3"/>
    </row>
    <row r="15" spans="1:8" x14ac:dyDescent="0.25">
      <c r="A15" s="8" t="s">
        <v>140</v>
      </c>
      <c r="B15" s="9"/>
      <c r="C15" s="9"/>
      <c r="D15" s="9"/>
      <c r="E15" s="9"/>
      <c r="F15" s="9"/>
      <c r="G15" s="9"/>
    </row>
    <row r="16" spans="1:8" x14ac:dyDescent="0.25">
      <c r="A16" t="s">
        <v>78</v>
      </c>
      <c r="E16" s="3">
        <v>214.12</v>
      </c>
      <c r="F16" s="3"/>
      <c r="G16" s="5"/>
      <c r="H16" t="str">
        <f t="shared" ref="H16:H24" si="1">IF(G16="","",IF(OR(G16&gt;E16*(1+0.5),G16&lt;E16*(1-0.5)),"La valeur saisie diffère grandement des coûts utilisés dans le modèle. Assurez-vous qu'il ne s'agit pas d'une erreur de saisie",""))</f>
        <v/>
      </c>
    </row>
    <row r="17" spans="1:8" x14ac:dyDescent="0.25">
      <c r="A17" t="s">
        <v>136</v>
      </c>
      <c r="E17" s="3">
        <v>13.04</v>
      </c>
      <c r="F17" s="3"/>
      <c r="G17" s="5"/>
      <c r="H17" t="str">
        <f t="shared" si="1"/>
        <v/>
      </c>
    </row>
    <row r="18" spans="1:8" x14ac:dyDescent="0.25">
      <c r="A18" t="s">
        <v>14</v>
      </c>
      <c r="D18">
        <f>25.54/2.6</f>
        <v>9.8230769230769219</v>
      </c>
      <c r="E18" s="3">
        <v>25.54</v>
      </c>
      <c r="F18" s="3"/>
      <c r="G18" s="5"/>
    </row>
    <row r="19" spans="1:8" x14ac:dyDescent="0.25">
      <c r="A19" t="s">
        <v>137</v>
      </c>
      <c r="E19" s="3">
        <v>245.99</v>
      </c>
      <c r="F19" s="3"/>
      <c r="G19" s="5"/>
    </row>
    <row r="20" spans="1:8" x14ac:dyDescent="0.25">
      <c r="A20" t="s">
        <v>138</v>
      </c>
      <c r="E20" s="3">
        <v>213.35</v>
      </c>
      <c r="F20" s="3"/>
      <c r="G20" s="5"/>
    </row>
    <row r="21" spans="1:8" x14ac:dyDescent="0.25">
      <c r="A21" t="s">
        <v>139</v>
      </c>
      <c r="D21">
        <f>87.81/2.6</f>
        <v>33.773076923076921</v>
      </c>
      <c r="E21" s="3">
        <v>87.81</v>
      </c>
      <c r="F21" s="3"/>
      <c r="G21" s="5"/>
      <c r="H21" t="str">
        <f t="shared" si="1"/>
        <v/>
      </c>
    </row>
    <row r="22" spans="1:8" x14ac:dyDescent="0.25">
      <c r="A22" t="s">
        <v>142</v>
      </c>
      <c r="E22" s="3">
        <v>80.7</v>
      </c>
      <c r="F22" s="3"/>
      <c r="G22" s="5"/>
      <c r="H22" t="str">
        <f t="shared" si="1"/>
        <v/>
      </c>
    </row>
    <row r="23" spans="1:8" x14ac:dyDescent="0.25">
      <c r="A23" t="s">
        <v>143</v>
      </c>
      <c r="E23" s="3">
        <v>124.44</v>
      </c>
      <c r="F23" s="3"/>
      <c r="G23" s="5"/>
      <c r="H23" t="str">
        <f t="shared" si="1"/>
        <v/>
      </c>
    </row>
    <row r="24" spans="1:8" x14ac:dyDescent="0.25">
      <c r="A24" t="s">
        <v>16</v>
      </c>
      <c r="E24" s="3">
        <v>49.43</v>
      </c>
      <c r="F24" s="3"/>
      <c r="G24" s="5"/>
      <c r="H24" t="str">
        <f t="shared" si="1"/>
        <v/>
      </c>
    </row>
    <row r="25" spans="1:8" x14ac:dyDescent="0.25">
      <c r="B25" s="1" t="s">
        <v>15</v>
      </c>
      <c r="E25" s="6">
        <f>SUM(E16:E24)</f>
        <v>1054.42</v>
      </c>
      <c r="F25" s="4"/>
      <c r="G25" s="6">
        <f>SUM(G16:G24)</f>
        <v>0</v>
      </c>
    </row>
    <row r="26" spans="1:8" x14ac:dyDescent="0.25">
      <c r="E26" s="3"/>
      <c r="F26" s="3"/>
      <c r="G26" s="3"/>
    </row>
    <row r="27" spans="1:8" ht="28.35" customHeight="1" x14ac:dyDescent="0.25">
      <c r="A27" s="86" t="s">
        <v>38</v>
      </c>
      <c r="B27" s="86"/>
      <c r="C27" s="86"/>
      <c r="D27" s="26"/>
      <c r="E27" s="6">
        <f>E12-E25</f>
        <v>1755.6</v>
      </c>
      <c r="F27" s="4"/>
      <c r="G27" s="6">
        <f>G12-G25</f>
        <v>2757.9656</v>
      </c>
    </row>
    <row r="28" spans="1:8" x14ac:dyDescent="0.25">
      <c r="E28" s="3"/>
      <c r="F28" s="3"/>
      <c r="G28" s="3"/>
    </row>
    <row r="29" spans="1:8" x14ac:dyDescent="0.25">
      <c r="A29" s="8" t="s">
        <v>144</v>
      </c>
      <c r="B29" s="9"/>
      <c r="C29" s="9"/>
      <c r="D29" s="9"/>
      <c r="E29" s="9"/>
      <c r="F29" s="9"/>
      <c r="G29" s="9"/>
    </row>
    <row r="30" spans="1:8" x14ac:dyDescent="0.25">
      <c r="A30" t="s">
        <v>19</v>
      </c>
      <c r="E30" s="3">
        <v>283.18</v>
      </c>
      <c r="F30" s="3"/>
      <c r="G30" s="5"/>
      <c r="H30" t="str">
        <f t="shared" ref="H30:H31" si="2">IF(G30="","",IF(OR(G30&gt;E30*(1+0.5),G30&lt;E30*(1-0.5)),"La valeur saisie diffère grandement des coûts utilisés dans le modèle. Assurez-vous qu'il ne s'agit pas d'une erreur de saisie",""))</f>
        <v/>
      </c>
    </row>
    <row r="31" spans="1:8" x14ac:dyDescent="0.25">
      <c r="A31" t="s">
        <v>20</v>
      </c>
      <c r="E31" s="3">
        <v>413.24</v>
      </c>
      <c r="F31" s="3"/>
      <c r="G31" s="5"/>
      <c r="H31" t="str">
        <f t="shared" si="2"/>
        <v/>
      </c>
    </row>
    <row r="32" spans="1:8" x14ac:dyDescent="0.25">
      <c r="B32" s="1" t="s">
        <v>15</v>
      </c>
      <c r="E32" s="4">
        <f>SUM(E30:E31)</f>
        <v>696.42000000000007</v>
      </c>
      <c r="F32" s="4"/>
      <c r="G32" s="4">
        <f>SUM(G30:G31)</f>
        <v>0</v>
      </c>
    </row>
    <row r="33" spans="1:7" x14ac:dyDescent="0.25">
      <c r="E33" s="3"/>
      <c r="F33" s="3"/>
      <c r="G33" s="3"/>
    </row>
    <row r="34" spans="1:7" ht="48" customHeight="1" thickBot="1" x14ac:dyDescent="0.3">
      <c r="A34" s="86" t="s">
        <v>39</v>
      </c>
      <c r="B34" s="86"/>
      <c r="C34" s="86"/>
      <c r="D34" s="26"/>
      <c r="E34" s="7">
        <f>E27-E32</f>
        <v>1059.1799999999998</v>
      </c>
      <c r="F34" s="4"/>
      <c r="G34" s="7">
        <f>G27-G32</f>
        <v>2757.9656</v>
      </c>
    </row>
    <row r="35" spans="1:7" ht="15.75" thickTop="1" x14ac:dyDescent="0.25"/>
  </sheetData>
  <dataConsolidate/>
  <mergeCells count="2">
    <mergeCell ref="A27:C27"/>
    <mergeCell ref="A34:C34"/>
  </mergeCells>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8157F8-A7AB-4942-A02A-42E2143259DD}">
  <sheetPr>
    <tabColor theme="5" tint="0.79998168889431442"/>
  </sheetPr>
  <dimension ref="A1:H35"/>
  <sheetViews>
    <sheetView zoomScaleNormal="100" workbookViewId="0"/>
  </sheetViews>
  <sheetFormatPr baseColWidth="10" defaultColWidth="10.85546875" defaultRowHeight="15" outlineLevelRow="1" x14ac:dyDescent="0.25"/>
  <cols>
    <col min="1" max="3" width="13.140625" customWidth="1"/>
    <col min="4" max="4" width="13.140625" hidden="1" customWidth="1"/>
    <col min="5" max="5" width="12.42578125" bestFit="1" customWidth="1"/>
    <col min="6" max="6" width="2.5703125" customWidth="1"/>
  </cols>
  <sheetData>
    <row r="1" spans="1:8" x14ac:dyDescent="0.25">
      <c r="E1" s="2" t="s">
        <v>37</v>
      </c>
      <c r="F1" s="2"/>
      <c r="G1" s="2" t="s">
        <v>37</v>
      </c>
    </row>
    <row r="2" spans="1:8" ht="15.75" x14ac:dyDescent="0.25">
      <c r="E2" s="21" t="s">
        <v>7</v>
      </c>
      <c r="F2" s="12"/>
      <c r="G2" s="22" t="s">
        <v>25</v>
      </c>
    </row>
    <row r="3" spans="1:8" ht="7.35" customHeight="1" x14ac:dyDescent="0.25">
      <c r="E3" s="12"/>
      <c r="F3" s="12"/>
      <c r="G3" s="12"/>
    </row>
    <row r="4" spans="1:8" x14ac:dyDescent="0.25">
      <c r="A4" s="8" t="s">
        <v>12</v>
      </c>
      <c r="B4" s="9"/>
      <c r="C4" s="9"/>
      <c r="D4" s="9"/>
      <c r="E4" s="9"/>
      <c r="F4" s="9"/>
      <c r="G4" s="9"/>
    </row>
    <row r="5" spans="1:8" x14ac:dyDescent="0.25">
      <c r="A5" t="s">
        <v>47</v>
      </c>
      <c r="E5" s="3">
        <f>Saisies!B10*Saisies!B23</f>
        <v>1638.5</v>
      </c>
      <c r="F5" s="3"/>
      <c r="G5" s="3">
        <f>IF(Saisies!C10="",Saisies!B10,Saisies!C10)*IF(Saisies!C23="",Saisies!B23,Saisies!C23)</f>
        <v>1638.5</v>
      </c>
      <c r="H5" t="str">
        <f>IF(G5="","",IF(OR(G5&gt;E5*(1+0.5),G5&lt;E5*(1-0.5)),"La valeur saisie diffère grandement des coûts utilisés dans le modèle. Assurez-vous qu'il ne s'agit pas d'une erreur de saisie",""))</f>
        <v/>
      </c>
    </row>
    <row r="6" spans="1:8" x14ac:dyDescent="0.25">
      <c r="A6" t="s">
        <v>11</v>
      </c>
      <c r="E6" s="3">
        <f>IF(ASRA_Calculs!$B$4&lt;ASRA_Calculs!$C$4,(ASRA_Calculs!$C$4-ASRA_Calculs!$B$4)*ASRA_Calculs!$D$4,0)</f>
        <v>0</v>
      </c>
      <c r="F6" s="3"/>
      <c r="G6" s="3">
        <f>IF(ASRA_Calculs!$B$4&lt;ASRA_Calculs!$C$4,(ASRA_Calculs!$C$4-ASRA_Calculs!$B$4)*ASRA_Calculs!$D$4,0)</f>
        <v>0</v>
      </c>
      <c r="H6" t="str">
        <f t="shared" ref="H6:H9" si="0">IF(G6="","",IF(OR(G6&gt;E6*(1+0.5),G6&lt;E6*(1-0.5)),"La valeur saisie diffère grandement des coûts utilisés dans le modèle. Assurez-vous qu'il ne s'agit pas d'une erreur de saisie",""))</f>
        <v/>
      </c>
    </row>
    <row r="7" spans="1:8" x14ac:dyDescent="0.25">
      <c r="A7" t="s">
        <v>17</v>
      </c>
      <c r="E7" s="3">
        <v>0</v>
      </c>
      <c r="F7" s="3"/>
      <c r="G7" s="5"/>
      <c r="H7" t="str">
        <f t="shared" si="0"/>
        <v/>
      </c>
    </row>
    <row r="8" spans="1:8" outlineLevel="1" x14ac:dyDescent="0.25">
      <c r="A8" s="30" t="s">
        <v>145</v>
      </c>
      <c r="E8" s="3">
        <f>(E5+E7-E16)*0.01</f>
        <v>13.930099999999999</v>
      </c>
      <c r="F8" s="3"/>
      <c r="G8" s="3">
        <f>(G5-G16)*0.01</f>
        <v>16.385000000000002</v>
      </c>
    </row>
    <row r="9" spans="1:8" outlineLevel="1" x14ac:dyDescent="0.25">
      <c r="A9" s="30" t="s">
        <v>18</v>
      </c>
      <c r="E9" s="44">
        <f>E10-E8</f>
        <v>239.69989999999999</v>
      </c>
      <c r="F9" s="3"/>
      <c r="G9" s="5"/>
      <c r="H9" t="str">
        <f t="shared" si="0"/>
        <v/>
      </c>
    </row>
    <row r="10" spans="1:8" x14ac:dyDescent="0.25">
      <c r="A10" s="1" t="s">
        <v>18</v>
      </c>
      <c r="E10" s="4">
        <v>253.63</v>
      </c>
      <c r="F10" s="3"/>
      <c r="G10" s="43">
        <f>SUM(G8:G9)</f>
        <v>16.385000000000002</v>
      </c>
    </row>
    <row r="11" spans="1:8" x14ac:dyDescent="0.25">
      <c r="E11" s="3"/>
      <c r="F11" s="3"/>
      <c r="G11" s="3"/>
    </row>
    <row r="12" spans="1:8" x14ac:dyDescent="0.25">
      <c r="A12" s="1" t="s">
        <v>13</v>
      </c>
      <c r="E12" s="6">
        <f>SUM(E5:E7)+E10</f>
        <v>1892.13</v>
      </c>
      <c r="F12" s="4"/>
      <c r="G12" s="6">
        <f>SUM(G5:G7)+G10</f>
        <v>1654.885</v>
      </c>
    </row>
    <row r="13" spans="1:8" x14ac:dyDescent="0.25">
      <c r="E13" s="3"/>
      <c r="F13" s="3"/>
      <c r="G13" s="3"/>
    </row>
    <row r="14" spans="1:8" x14ac:dyDescent="0.25">
      <c r="E14" s="3"/>
      <c r="F14" s="3"/>
      <c r="G14" s="3"/>
    </row>
    <row r="15" spans="1:8" x14ac:dyDescent="0.25">
      <c r="A15" s="8" t="s">
        <v>140</v>
      </c>
      <c r="B15" s="9"/>
      <c r="C15" s="9"/>
      <c r="D15" s="9"/>
      <c r="E15" s="9"/>
      <c r="F15" s="9"/>
      <c r="G15" s="9"/>
    </row>
    <row r="16" spans="1:8" x14ac:dyDescent="0.25">
      <c r="A16" t="s">
        <v>78</v>
      </c>
      <c r="E16" s="3">
        <v>245.49</v>
      </c>
      <c r="F16" s="3"/>
      <c r="G16" s="5"/>
      <c r="H16" t="str">
        <f t="shared" ref="H16:H24" si="1">IF(G16="","",IF(OR(G16&gt;E16*(1+0.5),G16&lt;E16*(1-0.5)),"La valeur saisie diffère grandement des coûts utilisés dans le modèle. Assurez-vous qu'il ne s'agit pas d'une erreur de saisie",""))</f>
        <v/>
      </c>
    </row>
    <row r="17" spans="1:8" x14ac:dyDescent="0.25">
      <c r="A17" t="s">
        <v>136</v>
      </c>
      <c r="E17" s="3">
        <v>64.91</v>
      </c>
      <c r="F17" s="3"/>
      <c r="G17" s="5"/>
      <c r="H17" t="str">
        <f t="shared" si="1"/>
        <v/>
      </c>
    </row>
    <row r="18" spans="1:8" x14ac:dyDescent="0.25">
      <c r="A18" t="s">
        <v>14</v>
      </c>
      <c r="D18">
        <f>14.87/2.9</f>
        <v>5.1275862068965514</v>
      </c>
      <c r="E18" s="3">
        <v>14.87</v>
      </c>
      <c r="F18" s="3"/>
      <c r="G18" s="5"/>
    </row>
    <row r="19" spans="1:8" x14ac:dyDescent="0.25">
      <c r="A19" t="s">
        <v>137</v>
      </c>
      <c r="E19" s="3">
        <v>323.33</v>
      </c>
      <c r="F19" s="3"/>
      <c r="G19" s="5"/>
    </row>
    <row r="20" spans="1:8" x14ac:dyDescent="0.25">
      <c r="A20" t="s">
        <v>138</v>
      </c>
      <c r="E20" s="3">
        <v>204.14</v>
      </c>
      <c r="F20" s="3"/>
      <c r="G20" s="5"/>
    </row>
    <row r="21" spans="1:8" x14ac:dyDescent="0.25">
      <c r="A21" t="s">
        <v>139</v>
      </c>
      <c r="D21">
        <f>122.32/2.9</f>
        <v>42.179310344827584</v>
      </c>
      <c r="E21" s="3">
        <v>122.32</v>
      </c>
      <c r="F21" s="3"/>
      <c r="G21" s="5"/>
      <c r="H21" t="str">
        <f t="shared" si="1"/>
        <v/>
      </c>
    </row>
    <row r="22" spans="1:8" x14ac:dyDescent="0.25">
      <c r="A22" t="s">
        <v>142</v>
      </c>
      <c r="E22" s="3">
        <v>54.75</v>
      </c>
      <c r="F22" s="3"/>
      <c r="G22" s="5"/>
      <c r="H22" t="str">
        <f t="shared" si="1"/>
        <v/>
      </c>
    </row>
    <row r="23" spans="1:8" x14ac:dyDescent="0.25">
      <c r="A23" t="s">
        <v>143</v>
      </c>
      <c r="E23" s="3">
        <v>100.27</v>
      </c>
      <c r="F23" s="3"/>
      <c r="G23" s="5"/>
      <c r="H23" t="str">
        <f t="shared" si="1"/>
        <v/>
      </c>
    </row>
    <row r="24" spans="1:8" x14ac:dyDescent="0.25">
      <c r="A24" t="s">
        <v>16</v>
      </c>
      <c r="E24" s="3">
        <v>117.74</v>
      </c>
      <c r="F24" s="3"/>
      <c r="G24" s="5"/>
      <c r="H24" t="str">
        <f t="shared" si="1"/>
        <v/>
      </c>
    </row>
    <row r="25" spans="1:8" x14ac:dyDescent="0.25">
      <c r="B25" s="1" t="s">
        <v>15</v>
      </c>
      <c r="E25" s="6">
        <f>SUM(E16:E24)</f>
        <v>1247.82</v>
      </c>
      <c r="F25" s="4"/>
      <c r="G25" s="6">
        <f>SUM(G16:G24)</f>
        <v>0</v>
      </c>
    </row>
    <row r="26" spans="1:8" x14ac:dyDescent="0.25">
      <c r="E26" s="3"/>
      <c r="F26" s="3"/>
      <c r="G26" s="3"/>
    </row>
    <row r="27" spans="1:8" ht="28.35" customHeight="1" x14ac:dyDescent="0.25">
      <c r="A27" s="86" t="s">
        <v>38</v>
      </c>
      <c r="B27" s="86"/>
      <c r="C27" s="86"/>
      <c r="D27" s="26"/>
      <c r="E27" s="6">
        <f>E12-E25</f>
        <v>644.31000000000017</v>
      </c>
      <c r="F27" s="4"/>
      <c r="G27" s="6">
        <f>G12-G25</f>
        <v>1654.885</v>
      </c>
    </row>
    <row r="28" spans="1:8" x14ac:dyDescent="0.25">
      <c r="E28" s="3"/>
      <c r="F28" s="3"/>
      <c r="G28" s="3"/>
    </row>
    <row r="29" spans="1:8" x14ac:dyDescent="0.25">
      <c r="A29" s="8" t="s">
        <v>144</v>
      </c>
      <c r="B29" s="9"/>
      <c r="C29" s="9"/>
      <c r="D29" s="9"/>
      <c r="E29" s="9"/>
      <c r="F29" s="9"/>
      <c r="G29" s="9"/>
    </row>
    <row r="30" spans="1:8" x14ac:dyDescent="0.25">
      <c r="A30" t="s">
        <v>19</v>
      </c>
      <c r="E30" s="3">
        <v>229.13</v>
      </c>
      <c r="F30" s="3"/>
      <c r="G30" s="5"/>
      <c r="H30" t="str">
        <f t="shared" ref="H30:H31" si="2">IF(G30="","",IF(OR(G30&gt;E30*(1+0.5),G30&lt;E30*(1-0.5)),"La valeur saisie diffère grandement des coûts utilisés dans le modèle. Assurez-vous qu'il ne s'agit pas d'une erreur de saisie",""))</f>
        <v/>
      </c>
    </row>
    <row r="31" spans="1:8" x14ac:dyDescent="0.25">
      <c r="A31" t="s">
        <v>20</v>
      </c>
      <c r="E31" s="3">
        <v>385.78</v>
      </c>
      <c r="F31" s="3"/>
      <c r="G31" s="5"/>
      <c r="H31" t="str">
        <f t="shared" si="2"/>
        <v/>
      </c>
    </row>
    <row r="32" spans="1:8" x14ac:dyDescent="0.25">
      <c r="B32" s="1" t="s">
        <v>15</v>
      </c>
      <c r="E32" s="4">
        <f>SUM(E30:E31)</f>
        <v>614.91</v>
      </c>
      <c r="F32" s="4"/>
      <c r="G32" s="4">
        <f>SUM(G30:G31)</f>
        <v>0</v>
      </c>
    </row>
    <row r="33" spans="1:7" x14ac:dyDescent="0.25">
      <c r="E33" s="3"/>
      <c r="F33" s="3"/>
      <c r="G33" s="3"/>
    </row>
    <row r="34" spans="1:7" ht="48" customHeight="1" thickBot="1" x14ac:dyDescent="0.3">
      <c r="A34" s="86" t="s">
        <v>39</v>
      </c>
      <c r="B34" s="86"/>
      <c r="C34" s="86"/>
      <c r="D34" s="26"/>
      <c r="E34" s="7">
        <f>E27-E32</f>
        <v>29.400000000000205</v>
      </c>
      <c r="F34" s="4"/>
      <c r="G34" s="7">
        <f>G27-G32</f>
        <v>1654.885</v>
      </c>
    </row>
    <row r="35" spans="1:7" ht="15.75" thickTop="1" x14ac:dyDescent="0.25"/>
  </sheetData>
  <dataConsolidate/>
  <mergeCells count="2">
    <mergeCell ref="A27:C27"/>
    <mergeCell ref="A34:C34"/>
  </mergeCells>
  <pageMargins left="0.7" right="0.7" top="0.75" bottom="0.75" header="0.3" footer="0.3"/>
  <pageSetup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3C5476-AF30-4A6E-AF62-873AD2B2FB76}">
  <sheetPr>
    <tabColor theme="5" tint="0.79998168889431442"/>
  </sheetPr>
  <dimension ref="A1:H35"/>
  <sheetViews>
    <sheetView zoomScaleNormal="100" workbookViewId="0"/>
  </sheetViews>
  <sheetFormatPr baseColWidth="10" defaultColWidth="10.85546875" defaultRowHeight="15" outlineLevelRow="1" x14ac:dyDescent="0.25"/>
  <cols>
    <col min="1" max="3" width="13.140625" customWidth="1"/>
    <col min="4" max="4" width="13.140625" hidden="1" customWidth="1"/>
    <col min="5" max="5" width="12.42578125" bestFit="1" customWidth="1"/>
    <col min="6" max="6" width="2.5703125" customWidth="1"/>
  </cols>
  <sheetData>
    <row r="1" spans="1:8" x14ac:dyDescent="0.25">
      <c r="E1" s="2" t="s">
        <v>37</v>
      </c>
      <c r="F1" s="2"/>
      <c r="G1" s="2" t="s">
        <v>37</v>
      </c>
    </row>
    <row r="2" spans="1:8" ht="15.75" x14ac:dyDescent="0.25">
      <c r="E2" s="21" t="s">
        <v>7</v>
      </c>
      <c r="F2" s="12"/>
      <c r="G2" s="22" t="s">
        <v>25</v>
      </c>
    </row>
    <row r="3" spans="1:8" ht="7.35" customHeight="1" x14ac:dyDescent="0.25">
      <c r="E3" s="12"/>
      <c r="F3" s="12"/>
      <c r="G3" s="12"/>
    </row>
    <row r="4" spans="1:8" x14ac:dyDescent="0.25">
      <c r="A4" s="8" t="s">
        <v>12</v>
      </c>
      <c r="B4" s="9"/>
      <c r="C4" s="9"/>
      <c r="D4" s="9"/>
      <c r="E4" s="9"/>
      <c r="F4" s="9"/>
      <c r="G4" s="9"/>
    </row>
    <row r="5" spans="1:8" x14ac:dyDescent="0.25">
      <c r="A5" t="s">
        <v>47</v>
      </c>
      <c r="E5" s="3">
        <f>Saisies!B11*Saisies!B24</f>
        <v>957.00000000000011</v>
      </c>
      <c r="F5" s="3"/>
      <c r="G5" s="3">
        <f>IF(Saisies!C11="",Saisies!B11,Saisies!C11)*IF(Saisies!C24="",Saisies!B24,Saisies!C24)</f>
        <v>957.00000000000011</v>
      </c>
      <c r="H5" t="str">
        <f>IF(G5="","",IF(OR(G5&gt;E5*(1+0.5),G5&lt;E5*(1-0.5)),"La valeur saisie diffère grandement des coûts utilisés dans le modèle. Assurez-vous qu'il ne s'agit pas d'une erreur de saisie",""))</f>
        <v/>
      </c>
    </row>
    <row r="6" spans="1:8" x14ac:dyDescent="0.25">
      <c r="A6" t="s">
        <v>11</v>
      </c>
      <c r="E6" s="3">
        <f>IF(ASRA_Calculs!$B$5&lt;ASRA_Calculs!$C$5,(ASRA_Calculs!$C$5-ASRA_Calculs!$B$5)*ASRA_Calculs!$D$5,0)</f>
        <v>0</v>
      </c>
      <c r="F6" s="3"/>
      <c r="G6" s="3">
        <f>IF(ASRA_Calculs!$B$5&lt;ASRA_Calculs!$C$5,(ASRA_Calculs!$C$5-ASRA_Calculs!$B$5)*ASRA_Calculs!$D$5,0)</f>
        <v>0</v>
      </c>
      <c r="H6" t="str">
        <f t="shared" ref="H6:H9" si="0">IF(G6="","",IF(OR(G6&gt;E6*(1+0.5),G6&lt;E6*(1-0.5)),"La valeur saisie diffère grandement des coûts utilisés dans le modèle. Assurez-vous qu'il ne s'agit pas d'une erreur de saisie",""))</f>
        <v/>
      </c>
    </row>
    <row r="7" spans="1:8" x14ac:dyDescent="0.25">
      <c r="A7" t="s">
        <v>17</v>
      </c>
      <c r="E7" s="3">
        <v>0</v>
      </c>
      <c r="F7" s="3"/>
      <c r="G7" s="5"/>
      <c r="H7" t="str">
        <f t="shared" si="0"/>
        <v/>
      </c>
    </row>
    <row r="8" spans="1:8" outlineLevel="1" x14ac:dyDescent="0.25">
      <c r="A8" s="30" t="s">
        <v>145</v>
      </c>
      <c r="E8" s="3">
        <f>(E5+E7-E16)*0.01</f>
        <v>8.0924000000000014</v>
      </c>
      <c r="F8" s="3"/>
      <c r="G8" s="3">
        <f>(G5-G16)*0.01</f>
        <v>9.5700000000000021</v>
      </c>
    </row>
    <row r="9" spans="1:8" outlineLevel="1" x14ac:dyDescent="0.25">
      <c r="A9" s="30" t="s">
        <v>18</v>
      </c>
      <c r="E9" s="44">
        <f>E10-E8</f>
        <v>132.26760000000002</v>
      </c>
      <c r="F9" s="3"/>
      <c r="G9" s="5"/>
      <c r="H9" t="str">
        <f t="shared" si="0"/>
        <v/>
      </c>
    </row>
    <row r="10" spans="1:8" x14ac:dyDescent="0.25">
      <c r="A10" s="1" t="s">
        <v>18</v>
      </c>
      <c r="E10" s="4">
        <v>140.36000000000001</v>
      </c>
      <c r="F10" s="3"/>
      <c r="G10" s="43">
        <f>SUM(G8:G9)</f>
        <v>9.5700000000000021</v>
      </c>
    </row>
    <row r="11" spans="1:8" x14ac:dyDescent="0.25">
      <c r="E11" s="3"/>
      <c r="F11" s="3"/>
      <c r="G11" s="3"/>
    </row>
    <row r="12" spans="1:8" x14ac:dyDescent="0.25">
      <c r="A12" s="1" t="s">
        <v>13</v>
      </c>
      <c r="E12" s="6">
        <f>SUM(E5:E7)+E10</f>
        <v>1097.3600000000001</v>
      </c>
      <c r="F12" s="4"/>
      <c r="G12" s="6">
        <f>SUM(G5:G7)+G10</f>
        <v>966.57000000000016</v>
      </c>
    </row>
    <row r="13" spans="1:8" x14ac:dyDescent="0.25">
      <c r="E13" s="3"/>
      <c r="F13" s="3"/>
      <c r="G13" s="3"/>
    </row>
    <row r="14" spans="1:8" x14ac:dyDescent="0.25">
      <c r="E14" s="3"/>
      <c r="F14" s="3"/>
      <c r="G14" s="3"/>
    </row>
    <row r="15" spans="1:8" x14ac:dyDescent="0.25">
      <c r="A15" s="8" t="s">
        <v>140</v>
      </c>
      <c r="B15" s="9"/>
      <c r="C15" s="9"/>
      <c r="D15" s="9"/>
      <c r="E15" s="9"/>
      <c r="F15" s="9"/>
      <c r="G15" s="9"/>
    </row>
    <row r="16" spans="1:8" x14ac:dyDescent="0.25">
      <c r="A16" t="s">
        <v>78</v>
      </c>
      <c r="E16" s="3">
        <v>147.76</v>
      </c>
      <c r="F16" s="3"/>
      <c r="G16" s="5"/>
      <c r="H16" t="str">
        <f t="shared" ref="H16:H24" si="1">IF(G16="","",IF(OR(G16&gt;E16*(1+0.5),G16&lt;E16*(1-0.5)),"La valeur saisie diffère grandement des coûts utilisés dans le modèle. Assurez-vous qu'il ne s'agit pas d'une erreur de saisie",""))</f>
        <v/>
      </c>
    </row>
    <row r="17" spans="1:8" x14ac:dyDescent="0.25">
      <c r="A17" t="s">
        <v>136</v>
      </c>
      <c r="E17" s="3">
        <v>64.569999999999993</v>
      </c>
      <c r="F17" s="3"/>
      <c r="G17" s="5"/>
      <c r="H17" t="str">
        <f t="shared" si="1"/>
        <v/>
      </c>
    </row>
    <row r="18" spans="1:8" x14ac:dyDescent="0.25">
      <c r="A18" t="s">
        <v>14</v>
      </c>
      <c r="D18">
        <f>44.99/2.2</f>
        <v>20.45</v>
      </c>
      <c r="E18" s="3">
        <v>44.99</v>
      </c>
      <c r="F18" s="3"/>
      <c r="G18" s="5"/>
    </row>
    <row r="19" spans="1:8" x14ac:dyDescent="0.25">
      <c r="A19" t="s">
        <v>137</v>
      </c>
      <c r="E19" s="3">
        <v>272.22000000000003</v>
      </c>
      <c r="F19" s="3"/>
      <c r="G19" s="5"/>
    </row>
    <row r="20" spans="1:8" x14ac:dyDescent="0.25">
      <c r="A20" t="s">
        <v>138</v>
      </c>
      <c r="E20" s="3">
        <v>163.11000000000001</v>
      </c>
      <c r="F20" s="3"/>
      <c r="G20" s="5"/>
    </row>
    <row r="21" spans="1:8" x14ac:dyDescent="0.25">
      <c r="A21" t="s">
        <v>139</v>
      </c>
      <c r="D21">
        <f>119.16/2.2</f>
        <v>54.163636363636357</v>
      </c>
      <c r="E21" s="3">
        <v>119.16</v>
      </c>
      <c r="F21" s="3"/>
      <c r="G21" s="5"/>
      <c r="H21" t="str">
        <f t="shared" si="1"/>
        <v/>
      </c>
    </row>
    <row r="22" spans="1:8" x14ac:dyDescent="0.25">
      <c r="A22" t="s">
        <v>142</v>
      </c>
      <c r="E22" s="3">
        <v>61.46</v>
      </c>
      <c r="F22" s="3"/>
      <c r="G22" s="5"/>
      <c r="H22" t="str">
        <f t="shared" si="1"/>
        <v/>
      </c>
    </row>
    <row r="23" spans="1:8" x14ac:dyDescent="0.25">
      <c r="A23" t="s">
        <v>143</v>
      </c>
      <c r="E23" s="3">
        <v>85.41</v>
      </c>
      <c r="F23" s="3"/>
      <c r="G23" s="5"/>
      <c r="H23" t="str">
        <f t="shared" si="1"/>
        <v/>
      </c>
    </row>
    <row r="24" spans="1:8" x14ac:dyDescent="0.25">
      <c r="A24" t="s">
        <v>16</v>
      </c>
      <c r="E24" s="3">
        <v>194.85</v>
      </c>
      <c r="F24" s="3"/>
      <c r="G24" s="5"/>
      <c r="H24" t="str">
        <f t="shared" si="1"/>
        <v/>
      </c>
    </row>
    <row r="25" spans="1:8" x14ac:dyDescent="0.25">
      <c r="B25" s="1" t="s">
        <v>15</v>
      </c>
      <c r="E25" s="6">
        <f>SUM(E16:E24)</f>
        <v>1153.53</v>
      </c>
      <c r="F25" s="4"/>
      <c r="G25" s="6">
        <f>SUM(G16:G24)</f>
        <v>0</v>
      </c>
    </row>
    <row r="26" spans="1:8" x14ac:dyDescent="0.25">
      <c r="E26" s="3"/>
      <c r="F26" s="3"/>
      <c r="G26" s="3"/>
    </row>
    <row r="27" spans="1:8" ht="28.35" customHeight="1" x14ac:dyDescent="0.25">
      <c r="A27" s="86" t="s">
        <v>38</v>
      </c>
      <c r="B27" s="86"/>
      <c r="C27" s="86"/>
      <c r="D27" s="26"/>
      <c r="E27" s="6">
        <f>E12-E25</f>
        <v>-56.169999999999845</v>
      </c>
      <c r="F27" s="4"/>
      <c r="G27" s="6">
        <f>G12-G25</f>
        <v>966.57000000000016</v>
      </c>
    </row>
    <row r="28" spans="1:8" x14ac:dyDescent="0.25">
      <c r="E28" s="3"/>
      <c r="F28" s="3"/>
      <c r="G28" s="3"/>
    </row>
    <row r="29" spans="1:8" x14ac:dyDescent="0.25">
      <c r="A29" s="8" t="s">
        <v>144</v>
      </c>
      <c r="B29" s="9"/>
      <c r="C29" s="9"/>
      <c r="D29" s="9"/>
      <c r="E29" s="9"/>
      <c r="F29" s="9"/>
      <c r="G29" s="9"/>
    </row>
    <row r="30" spans="1:8" x14ac:dyDescent="0.25">
      <c r="A30" t="s">
        <v>19</v>
      </c>
      <c r="E30" s="3">
        <v>170.27</v>
      </c>
      <c r="F30" s="3"/>
      <c r="G30" s="5"/>
      <c r="H30" t="str">
        <f t="shared" ref="H30:H31" si="2">IF(G30="","",IF(OR(G30&gt;E30*(1+0.5),G30&lt;E30*(1-0.5)),"La valeur saisie diffère grandement des coûts utilisés dans le modèle. Assurez-vous qu'il ne s'agit pas d'une erreur de saisie",""))</f>
        <v/>
      </c>
    </row>
    <row r="31" spans="1:8" x14ac:dyDescent="0.25">
      <c r="A31" t="s">
        <v>20</v>
      </c>
      <c r="E31" s="3">
        <v>346.94</v>
      </c>
      <c r="F31" s="3"/>
      <c r="G31" s="5"/>
      <c r="H31" t="str">
        <f t="shared" si="2"/>
        <v/>
      </c>
    </row>
    <row r="32" spans="1:8" x14ac:dyDescent="0.25">
      <c r="B32" s="1" t="s">
        <v>15</v>
      </c>
      <c r="E32" s="4">
        <f>SUM(E30:E31)</f>
        <v>517.21</v>
      </c>
      <c r="F32" s="4"/>
      <c r="G32" s="4">
        <f>SUM(G30:G31)</f>
        <v>0</v>
      </c>
    </row>
    <row r="33" spans="1:7" x14ac:dyDescent="0.25">
      <c r="E33" s="3"/>
      <c r="F33" s="3"/>
      <c r="G33" s="3"/>
    </row>
    <row r="34" spans="1:7" ht="48" customHeight="1" thickBot="1" x14ac:dyDescent="0.3">
      <c r="A34" s="86" t="s">
        <v>39</v>
      </c>
      <c r="B34" s="86"/>
      <c r="C34" s="86"/>
      <c r="D34" s="26"/>
      <c r="E34" s="7">
        <f>E27-E32</f>
        <v>-573.37999999999988</v>
      </c>
      <c r="F34" s="4"/>
      <c r="G34" s="7">
        <f>G27-G32</f>
        <v>966.57000000000016</v>
      </c>
    </row>
    <row r="35" spans="1:7" ht="15.75" thickTop="1" x14ac:dyDescent="0.25"/>
  </sheetData>
  <dataConsolidate/>
  <mergeCells count="2">
    <mergeCell ref="A27:C27"/>
    <mergeCell ref="A34:C34"/>
  </mergeCells>
  <pageMargins left="0.7" right="0.7" top="0.75" bottom="0.75" header="0.3" footer="0.3"/>
  <pageSetup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BFE905-A9F2-4332-B11D-7BA73925578D}">
  <sheetPr>
    <tabColor theme="5" tint="0.79998168889431442"/>
  </sheetPr>
  <dimension ref="A1:H35"/>
  <sheetViews>
    <sheetView zoomScaleNormal="100" workbookViewId="0"/>
  </sheetViews>
  <sheetFormatPr baseColWidth="10" defaultColWidth="10.85546875" defaultRowHeight="15" outlineLevelRow="1" x14ac:dyDescent="0.25"/>
  <cols>
    <col min="1" max="3" width="13.140625" customWidth="1"/>
    <col min="4" max="4" width="13.140625" hidden="1" customWidth="1"/>
    <col min="5" max="5" width="12.42578125" bestFit="1" customWidth="1"/>
    <col min="6" max="6" width="2.5703125" customWidth="1"/>
  </cols>
  <sheetData>
    <row r="1" spans="1:8" x14ac:dyDescent="0.25">
      <c r="E1" s="2" t="s">
        <v>37</v>
      </c>
      <c r="F1" s="2"/>
      <c r="G1" s="2" t="s">
        <v>37</v>
      </c>
    </row>
    <row r="2" spans="1:8" ht="15.75" x14ac:dyDescent="0.25">
      <c r="E2" s="21" t="s">
        <v>7</v>
      </c>
      <c r="F2" s="12"/>
      <c r="G2" s="22" t="s">
        <v>25</v>
      </c>
    </row>
    <row r="3" spans="1:8" ht="7.35" customHeight="1" x14ac:dyDescent="0.25">
      <c r="E3" s="12"/>
      <c r="F3" s="12"/>
      <c r="G3" s="12"/>
    </row>
    <row r="4" spans="1:8" x14ac:dyDescent="0.25">
      <c r="A4" s="8" t="s">
        <v>12</v>
      </c>
      <c r="B4" s="9"/>
      <c r="C4" s="9"/>
      <c r="D4" s="9"/>
      <c r="E4" s="9"/>
      <c r="F4" s="9"/>
      <c r="G4" s="9"/>
    </row>
    <row r="5" spans="1:8" x14ac:dyDescent="0.25">
      <c r="A5" t="s">
        <v>47</v>
      </c>
      <c r="E5" s="3">
        <f>Saisies!B13*Saisies!B26</f>
        <v>1823.36</v>
      </c>
      <c r="F5" s="3"/>
      <c r="G5" s="3">
        <f>IF(Saisies!C13="",Saisies!B13,Saisies!C13)*IF(Saisies!C26="",Saisies!B26,Saisies!C26)</f>
        <v>1823.36</v>
      </c>
      <c r="H5" t="str">
        <f>IF(G5="","",IF(OR(G5&gt;E5*(1+0.5),G5&lt;E5*(1-0.5)),"La valeur saisie diffère grandement des coûts utilisés dans le modèle. Assurez-vous qu'il ne s'agit pas d'une erreur de saisie",""))</f>
        <v/>
      </c>
    </row>
    <row r="6" spans="1:8" x14ac:dyDescent="0.25">
      <c r="A6" t="s">
        <v>11</v>
      </c>
      <c r="E6" s="3">
        <f>IF(ASRA_Calculs!$B$6&lt;ASRA_Calculs!$C$6,(ASRA_Calculs!$C$6-ASRA_Calculs!$B$6)*ASRA_Calculs!$D$6,0)</f>
        <v>0</v>
      </c>
      <c r="F6" s="3"/>
      <c r="G6" s="3">
        <f>IF(ASRA_Calculs!$B$6&lt;ASRA_Calculs!$C$6,(ASRA_Calculs!$C$6-ASRA_Calculs!$B$6)*ASRA_Calculs!$D$6,0)</f>
        <v>0</v>
      </c>
      <c r="H6" t="str">
        <f t="shared" ref="H6:H9" si="0">IF(G6="","",IF(OR(G6&gt;E6*(1+0.5),G6&lt;E6*(1-0.5)),"La valeur saisie diffère grandement des coûts utilisés dans le modèle. Assurez-vous qu'il ne s'agit pas d'une erreur de saisie",""))</f>
        <v/>
      </c>
    </row>
    <row r="7" spans="1:8" x14ac:dyDescent="0.25">
      <c r="A7" t="s">
        <v>17</v>
      </c>
      <c r="E7" s="3">
        <v>0</v>
      </c>
      <c r="F7" s="3"/>
      <c r="G7" s="5"/>
      <c r="H7" t="str">
        <f t="shared" si="0"/>
        <v/>
      </c>
    </row>
    <row r="8" spans="1:8" outlineLevel="1" x14ac:dyDescent="0.25">
      <c r="A8" s="30" t="s">
        <v>145</v>
      </c>
      <c r="E8" s="3">
        <f>(E5+E7-E16)*0.01</f>
        <v>16.077209</v>
      </c>
      <c r="F8" s="3"/>
      <c r="G8" s="3">
        <f>(G5-G16)*0.01</f>
        <v>18.233599999999999</v>
      </c>
    </row>
    <row r="9" spans="1:8" outlineLevel="1" x14ac:dyDescent="0.25">
      <c r="A9" s="30" t="s">
        <v>18</v>
      </c>
      <c r="E9" s="44">
        <f>E10-E8</f>
        <v>87.702791000000005</v>
      </c>
      <c r="F9" s="3"/>
      <c r="G9" s="5"/>
      <c r="H9" t="str">
        <f t="shared" si="0"/>
        <v/>
      </c>
    </row>
    <row r="10" spans="1:8" x14ac:dyDescent="0.25">
      <c r="A10" s="1" t="s">
        <v>18</v>
      </c>
      <c r="E10" s="4">
        <v>103.78</v>
      </c>
      <c r="F10" s="3"/>
      <c r="G10" s="43">
        <f>SUM(G8:G9)</f>
        <v>18.233599999999999</v>
      </c>
    </row>
    <row r="11" spans="1:8" x14ac:dyDescent="0.25">
      <c r="E11" s="3"/>
      <c r="F11" s="3"/>
      <c r="G11" s="3"/>
    </row>
    <row r="12" spans="1:8" x14ac:dyDescent="0.25">
      <c r="A12" s="1" t="s">
        <v>13</v>
      </c>
      <c r="E12" s="6">
        <f>SUM(E5:E7)+E10</f>
        <v>1927.1399999999999</v>
      </c>
      <c r="F12" s="4"/>
      <c r="G12" s="6">
        <f>SUM(G5:G7)+G10</f>
        <v>1841.5935999999999</v>
      </c>
    </row>
    <row r="13" spans="1:8" x14ac:dyDescent="0.25">
      <c r="E13" s="3"/>
      <c r="F13" s="3"/>
      <c r="G13" s="3"/>
    </row>
    <row r="14" spans="1:8" x14ac:dyDescent="0.25">
      <c r="E14" s="3"/>
      <c r="F14" s="3"/>
      <c r="G14" s="3"/>
    </row>
    <row r="15" spans="1:8" x14ac:dyDescent="0.25">
      <c r="A15" s="8" t="s">
        <v>140</v>
      </c>
      <c r="B15" s="9"/>
      <c r="C15" s="9"/>
      <c r="D15" s="9"/>
      <c r="E15" s="9"/>
      <c r="F15" s="9"/>
      <c r="G15" s="9"/>
    </row>
    <row r="16" spans="1:8" x14ac:dyDescent="0.25">
      <c r="A16" t="s">
        <v>78</v>
      </c>
      <c r="E16" s="3">
        <f>231.87*(1-0.07)</f>
        <v>215.63909999999998</v>
      </c>
      <c r="F16" s="3"/>
      <c r="G16" s="5"/>
      <c r="H16" t="str">
        <f t="shared" ref="H16:H24" si="1">IF(G16="","",IF(OR(G16&gt;E16*(1+0.5),G16&lt;E16*(1-0.5)),"La valeur saisie diffère grandement des coûts utilisés dans le modèle. Assurez-vous qu'il ne s'agit pas d'une erreur de saisie",""))</f>
        <v/>
      </c>
    </row>
    <row r="17" spans="1:8" x14ac:dyDescent="0.25">
      <c r="A17" t="s">
        <v>136</v>
      </c>
      <c r="E17" s="3">
        <v>86.56</v>
      </c>
      <c r="F17" s="3"/>
      <c r="G17" s="5"/>
      <c r="H17" t="str">
        <f t="shared" si="1"/>
        <v/>
      </c>
    </row>
    <row r="18" spans="1:8" x14ac:dyDescent="0.25">
      <c r="A18" t="s">
        <v>14</v>
      </c>
      <c r="D18">
        <f>23.28/3.2</f>
        <v>7.2750000000000004</v>
      </c>
      <c r="E18" s="3">
        <v>23.28</v>
      </c>
      <c r="F18" s="3"/>
      <c r="G18" s="5"/>
    </row>
    <row r="19" spans="1:8" x14ac:dyDescent="0.25">
      <c r="A19" t="s">
        <v>137</v>
      </c>
      <c r="E19" s="3">
        <v>103.24</v>
      </c>
      <c r="F19" s="3"/>
      <c r="G19" s="5"/>
    </row>
    <row r="20" spans="1:8" x14ac:dyDescent="0.25">
      <c r="A20" t="s">
        <v>138</v>
      </c>
      <c r="E20" s="3">
        <v>213.57</v>
      </c>
      <c r="F20" s="3"/>
      <c r="G20" s="5"/>
    </row>
    <row r="21" spans="1:8" x14ac:dyDescent="0.25">
      <c r="A21" t="s">
        <v>139</v>
      </c>
      <c r="D21">
        <f>139.03/3.2</f>
        <v>43.446874999999999</v>
      </c>
      <c r="E21" s="3">
        <v>139.03</v>
      </c>
      <c r="F21" s="3"/>
      <c r="G21" s="5"/>
      <c r="H21" t="str">
        <f t="shared" si="1"/>
        <v/>
      </c>
    </row>
    <row r="22" spans="1:8" x14ac:dyDescent="0.25">
      <c r="A22" t="s">
        <v>142</v>
      </c>
      <c r="E22" s="3">
        <v>88.19</v>
      </c>
      <c r="F22" s="3"/>
      <c r="G22" s="5"/>
      <c r="H22" t="str">
        <f t="shared" si="1"/>
        <v/>
      </c>
    </row>
    <row r="23" spans="1:8" x14ac:dyDescent="0.25">
      <c r="A23" t="s">
        <v>143</v>
      </c>
      <c r="E23" s="3">
        <v>95.61</v>
      </c>
      <c r="F23" s="3"/>
      <c r="G23" s="5"/>
      <c r="H23" t="str">
        <f t="shared" si="1"/>
        <v/>
      </c>
    </row>
    <row r="24" spans="1:8" x14ac:dyDescent="0.25">
      <c r="A24" t="s">
        <v>16</v>
      </c>
      <c r="E24" s="3">
        <v>141.16</v>
      </c>
      <c r="F24" s="3"/>
      <c r="G24" s="5"/>
      <c r="H24" t="str">
        <f t="shared" si="1"/>
        <v/>
      </c>
    </row>
    <row r="25" spans="1:8" x14ac:dyDescent="0.25">
      <c r="B25" s="1" t="s">
        <v>15</v>
      </c>
      <c r="E25" s="6">
        <f>SUM(E16:E24)</f>
        <v>1106.2791</v>
      </c>
      <c r="F25" s="4"/>
      <c r="G25" s="6">
        <f>SUM(G16:G24)</f>
        <v>0</v>
      </c>
    </row>
    <row r="26" spans="1:8" x14ac:dyDescent="0.25">
      <c r="E26" s="3"/>
      <c r="F26" s="3"/>
      <c r="G26" s="3"/>
    </row>
    <row r="27" spans="1:8" ht="28.35" customHeight="1" x14ac:dyDescent="0.25">
      <c r="A27" s="86" t="s">
        <v>38</v>
      </c>
      <c r="B27" s="86"/>
      <c r="C27" s="86"/>
      <c r="D27" s="26"/>
      <c r="E27" s="6">
        <f>E12-E25</f>
        <v>820.8608999999999</v>
      </c>
      <c r="F27" s="4"/>
      <c r="G27" s="6">
        <f>G12-G25</f>
        <v>1841.5935999999999</v>
      </c>
    </row>
    <row r="28" spans="1:8" x14ac:dyDescent="0.25">
      <c r="E28" s="3"/>
      <c r="F28" s="3"/>
      <c r="G28" s="3"/>
    </row>
    <row r="29" spans="1:8" x14ac:dyDescent="0.25">
      <c r="A29" s="8" t="s">
        <v>144</v>
      </c>
      <c r="B29" s="9"/>
      <c r="C29" s="9"/>
      <c r="D29" s="9"/>
      <c r="E29" s="9"/>
      <c r="F29" s="9"/>
      <c r="G29" s="9"/>
    </row>
    <row r="30" spans="1:8" x14ac:dyDescent="0.25">
      <c r="A30" t="s">
        <v>19</v>
      </c>
      <c r="E30" s="3">
        <v>256.24</v>
      </c>
      <c r="F30" s="3"/>
      <c r="G30" s="5"/>
      <c r="H30" t="str">
        <f t="shared" ref="H30:H31" si="2">IF(G30="","",IF(OR(G30&gt;E30*(1+0.5),G30&lt;E30*(1-0.5)),"La valeur saisie diffère grandement des coûts utilisés dans le modèle. Assurez-vous qu'il ne s'agit pas d'une erreur de saisie",""))</f>
        <v/>
      </c>
    </row>
    <row r="31" spans="1:8" x14ac:dyDescent="0.25">
      <c r="A31" t="s">
        <v>20</v>
      </c>
      <c r="E31" s="3">
        <v>356.22</v>
      </c>
      <c r="F31" s="3"/>
      <c r="G31" s="5"/>
      <c r="H31" t="str">
        <f t="shared" si="2"/>
        <v/>
      </c>
    </row>
    <row r="32" spans="1:8" x14ac:dyDescent="0.25">
      <c r="B32" s="1" t="s">
        <v>15</v>
      </c>
      <c r="E32" s="4">
        <f>SUM(E30:E31)</f>
        <v>612.46</v>
      </c>
      <c r="F32" s="4"/>
      <c r="G32" s="4">
        <f>SUM(G30:G31)</f>
        <v>0</v>
      </c>
    </row>
    <row r="33" spans="1:7" x14ac:dyDescent="0.25">
      <c r="E33" s="3"/>
      <c r="F33" s="3"/>
      <c r="G33" s="3"/>
    </row>
    <row r="34" spans="1:7" ht="48" customHeight="1" thickBot="1" x14ac:dyDescent="0.3">
      <c r="A34" s="86" t="s">
        <v>39</v>
      </c>
      <c r="B34" s="86"/>
      <c r="C34" s="86"/>
      <c r="D34" s="26"/>
      <c r="E34" s="7">
        <f>E27-E32</f>
        <v>208.40089999999987</v>
      </c>
      <c r="F34" s="4"/>
      <c r="G34" s="7">
        <f>G27-G32</f>
        <v>1841.5935999999999</v>
      </c>
    </row>
    <row r="35" spans="1:7" ht="15.75" thickTop="1" x14ac:dyDescent="0.25"/>
  </sheetData>
  <dataConsolidate/>
  <mergeCells count="2">
    <mergeCell ref="A27:C27"/>
    <mergeCell ref="A34:C34"/>
  </mergeCells>
  <pageMargins left="0.7" right="0.7" top="0.75" bottom="0.75" header="0.3" footer="0.3"/>
  <pageSetup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E287C2-DCCC-415C-A883-2E306CD8D4CE}">
  <sheetPr>
    <tabColor theme="5" tint="0.79998168889431442"/>
  </sheetPr>
  <dimension ref="A1:H35"/>
  <sheetViews>
    <sheetView zoomScaleNormal="100" workbookViewId="0"/>
  </sheetViews>
  <sheetFormatPr baseColWidth="10" defaultColWidth="10.85546875" defaultRowHeight="15" outlineLevelRow="1" x14ac:dyDescent="0.25"/>
  <cols>
    <col min="1" max="3" width="13.140625" customWidth="1"/>
    <col min="4" max="4" width="13.140625" hidden="1" customWidth="1"/>
    <col min="5" max="5" width="12.42578125" bestFit="1" customWidth="1"/>
    <col min="6" max="6" width="2.5703125" customWidth="1"/>
  </cols>
  <sheetData>
    <row r="1" spans="1:8" x14ac:dyDescent="0.25">
      <c r="E1" s="2" t="s">
        <v>37</v>
      </c>
      <c r="F1" s="2"/>
      <c r="G1" s="2" t="s">
        <v>37</v>
      </c>
    </row>
    <row r="2" spans="1:8" ht="15.75" x14ac:dyDescent="0.25">
      <c r="E2" s="21" t="s">
        <v>7</v>
      </c>
      <c r="F2" s="12"/>
      <c r="G2" s="22" t="s">
        <v>25</v>
      </c>
    </row>
    <row r="3" spans="1:8" ht="7.35" customHeight="1" x14ac:dyDescent="0.25">
      <c r="E3" s="12"/>
      <c r="F3" s="12"/>
      <c r="G3" s="12"/>
    </row>
    <row r="4" spans="1:8" x14ac:dyDescent="0.25">
      <c r="A4" s="8" t="s">
        <v>12</v>
      </c>
      <c r="B4" s="9"/>
      <c r="C4" s="9"/>
      <c r="D4" s="9"/>
      <c r="E4" s="9"/>
      <c r="F4" s="9"/>
      <c r="G4" s="9"/>
    </row>
    <row r="5" spans="1:8" x14ac:dyDescent="0.25">
      <c r="A5" t="s">
        <v>47</v>
      </c>
      <c r="E5" s="3">
        <f>Saisies!B12*Saisies!B25</f>
        <v>1367.5199999999998</v>
      </c>
      <c r="F5" s="3"/>
      <c r="G5" s="3">
        <f>IF(Saisies!C12="",Saisies!B12,Saisies!C12)*IF(Saisies!C25="",Saisies!B25,Saisies!C25)</f>
        <v>1367.5199999999998</v>
      </c>
      <c r="H5" t="str">
        <f>IF(G5="","",IF(OR(G5&gt;E5*(1+0.5),G5&lt;E5*(1-0.5)),"La valeur saisie diffère grandement des coûts utilisés dans le modèle. Assurez-vous qu'il ne s'agit pas d'une erreur de saisie",""))</f>
        <v/>
      </c>
    </row>
    <row r="6" spans="1:8" x14ac:dyDescent="0.25">
      <c r="A6" t="s">
        <v>11</v>
      </c>
      <c r="E6" s="3">
        <f>IF(ASRA_Calculs!$B$6&lt;ASRA_Calculs!$C$6,(ASRA_Calculs!$C$6-ASRA_Calculs!$B$6)*ASRA_Calculs!$D$6,0)</f>
        <v>0</v>
      </c>
      <c r="F6" s="3"/>
      <c r="G6" s="3">
        <f>IF(ASRA_Calculs!$B$6&lt;ASRA_Calculs!$C$6,(ASRA_Calculs!$C$6-ASRA_Calculs!$B$6)*ASRA_Calculs!$D$6,0)</f>
        <v>0</v>
      </c>
      <c r="H6" t="str">
        <f t="shared" ref="H6:H9" si="0">IF(G6="","",IF(OR(G6&gt;E6*(1+0.5),G6&lt;E6*(1-0.5)),"La valeur saisie diffère grandement des coûts utilisés dans le modèle. Assurez-vous qu'il ne s'agit pas d'une erreur de saisie",""))</f>
        <v/>
      </c>
    </row>
    <row r="7" spans="1:8" x14ac:dyDescent="0.25">
      <c r="A7" t="s">
        <v>17</v>
      </c>
      <c r="E7" s="3">
        <v>0</v>
      </c>
      <c r="F7" s="3"/>
      <c r="G7" s="5"/>
      <c r="H7" t="str">
        <f t="shared" si="0"/>
        <v/>
      </c>
    </row>
    <row r="8" spans="1:8" outlineLevel="1" x14ac:dyDescent="0.25">
      <c r="A8" s="30" t="s">
        <v>145</v>
      </c>
      <c r="E8" s="3">
        <f>(E5+E7-E16)*0.01</f>
        <v>11.356499999999997</v>
      </c>
      <c r="F8" s="3"/>
      <c r="G8" s="3">
        <f>(G5-G16)*0.01</f>
        <v>13.675199999999998</v>
      </c>
    </row>
    <row r="9" spans="1:8" outlineLevel="1" x14ac:dyDescent="0.25">
      <c r="A9" s="30" t="s">
        <v>18</v>
      </c>
      <c r="E9" s="44">
        <f>E10-E8</f>
        <v>92.423500000000004</v>
      </c>
      <c r="F9" s="3"/>
      <c r="G9" s="5"/>
      <c r="H9" t="str">
        <f t="shared" si="0"/>
        <v/>
      </c>
    </row>
    <row r="10" spans="1:8" x14ac:dyDescent="0.25">
      <c r="A10" s="1" t="s">
        <v>18</v>
      </c>
      <c r="E10" s="4">
        <v>103.78</v>
      </c>
      <c r="F10" s="3"/>
      <c r="G10" s="43">
        <f>SUM(G8:G9)</f>
        <v>13.675199999999998</v>
      </c>
    </row>
    <row r="11" spans="1:8" x14ac:dyDescent="0.25">
      <c r="E11" s="3"/>
      <c r="F11" s="3"/>
      <c r="G11" s="3"/>
    </row>
    <row r="12" spans="1:8" x14ac:dyDescent="0.25">
      <c r="A12" s="1" t="s">
        <v>13</v>
      </c>
      <c r="E12" s="6">
        <f>SUM(E5:E7)+E10</f>
        <v>1471.2999999999997</v>
      </c>
      <c r="F12" s="4"/>
      <c r="G12" s="6">
        <f>SUM(G5:G7)+G10</f>
        <v>1381.1951999999997</v>
      </c>
    </row>
    <row r="13" spans="1:8" x14ac:dyDescent="0.25">
      <c r="E13" s="3"/>
      <c r="F13" s="3"/>
      <c r="G13" s="3"/>
    </row>
    <row r="14" spans="1:8" x14ac:dyDescent="0.25">
      <c r="E14" s="3"/>
      <c r="F14" s="3"/>
      <c r="G14" s="3"/>
    </row>
    <row r="15" spans="1:8" x14ac:dyDescent="0.25">
      <c r="A15" s="8" t="s">
        <v>140</v>
      </c>
      <c r="B15" s="9"/>
      <c r="C15" s="9"/>
      <c r="D15" s="9"/>
      <c r="E15" s="9"/>
      <c r="F15" s="9"/>
      <c r="G15" s="9"/>
    </row>
    <row r="16" spans="1:8" x14ac:dyDescent="0.25">
      <c r="A16" t="s">
        <v>78</v>
      </c>
      <c r="E16" s="3">
        <f>231.87</f>
        <v>231.87</v>
      </c>
      <c r="F16" s="3"/>
      <c r="G16" s="5"/>
      <c r="H16" t="str">
        <f t="shared" ref="H16:H24" si="1">IF(G16="","",IF(OR(G16&gt;E16*(1+0.5),G16&lt;E16*(1-0.5)),"La valeur saisie diffère grandement des coûts utilisés dans le modèle. Assurez-vous qu'il ne s'agit pas d'une erreur de saisie",""))</f>
        <v/>
      </c>
    </row>
    <row r="17" spans="1:8" x14ac:dyDescent="0.25">
      <c r="A17" t="s">
        <v>136</v>
      </c>
      <c r="E17" s="3">
        <v>86.56</v>
      </c>
      <c r="F17" s="3"/>
      <c r="G17" s="5"/>
      <c r="H17" t="str">
        <f t="shared" si="1"/>
        <v/>
      </c>
    </row>
    <row r="18" spans="1:8" x14ac:dyDescent="0.25">
      <c r="A18" t="s">
        <v>14</v>
      </c>
      <c r="D18">
        <f>23.28/2.4</f>
        <v>9.7000000000000011</v>
      </c>
      <c r="E18" s="3">
        <v>23.28</v>
      </c>
      <c r="F18" s="3"/>
      <c r="G18" s="5"/>
    </row>
    <row r="19" spans="1:8" x14ac:dyDescent="0.25">
      <c r="A19" t="s">
        <v>137</v>
      </c>
      <c r="E19" s="3">
        <v>103.24</v>
      </c>
      <c r="F19" s="3"/>
      <c r="G19" s="5"/>
    </row>
    <row r="20" spans="1:8" x14ac:dyDescent="0.25">
      <c r="A20" t="s">
        <v>138</v>
      </c>
      <c r="E20" s="3">
        <v>213.57</v>
      </c>
      <c r="F20" s="3"/>
      <c r="G20" s="5"/>
    </row>
    <row r="21" spans="1:8" x14ac:dyDescent="0.25">
      <c r="A21" t="s">
        <v>139</v>
      </c>
      <c r="D21">
        <f>139.03/2.4</f>
        <v>57.929166666666667</v>
      </c>
      <c r="E21" s="3">
        <v>139.03</v>
      </c>
      <c r="F21" s="3"/>
      <c r="G21" s="5"/>
      <c r="H21" t="str">
        <f t="shared" si="1"/>
        <v/>
      </c>
    </row>
    <row r="22" spans="1:8" x14ac:dyDescent="0.25">
      <c r="A22" t="s">
        <v>142</v>
      </c>
      <c r="E22" s="3">
        <v>88.19</v>
      </c>
      <c r="F22" s="3"/>
      <c r="G22" s="5"/>
      <c r="H22" t="str">
        <f t="shared" si="1"/>
        <v/>
      </c>
    </row>
    <row r="23" spans="1:8" x14ac:dyDescent="0.25">
      <c r="A23" t="s">
        <v>143</v>
      </c>
      <c r="E23" s="3">
        <v>95.61</v>
      </c>
      <c r="F23" s="3"/>
      <c r="G23" s="5"/>
      <c r="H23" t="str">
        <f t="shared" si="1"/>
        <v/>
      </c>
    </row>
    <row r="24" spans="1:8" x14ac:dyDescent="0.25">
      <c r="A24" t="s">
        <v>16</v>
      </c>
      <c r="E24" s="3">
        <v>141.16</v>
      </c>
      <c r="F24" s="3"/>
      <c r="G24" s="5"/>
      <c r="H24" t="str">
        <f t="shared" si="1"/>
        <v/>
      </c>
    </row>
    <row r="25" spans="1:8" x14ac:dyDescent="0.25">
      <c r="B25" s="1" t="s">
        <v>15</v>
      </c>
      <c r="E25" s="6">
        <f>SUM(E16:E24)</f>
        <v>1122.51</v>
      </c>
      <c r="F25" s="4"/>
      <c r="G25" s="6">
        <f>SUM(G16:G24)</f>
        <v>0</v>
      </c>
    </row>
    <row r="26" spans="1:8" x14ac:dyDescent="0.25">
      <c r="E26" s="3"/>
      <c r="F26" s="3"/>
      <c r="G26" s="3"/>
    </row>
    <row r="27" spans="1:8" ht="28.35" customHeight="1" x14ac:dyDescent="0.25">
      <c r="A27" s="86" t="s">
        <v>38</v>
      </c>
      <c r="B27" s="86"/>
      <c r="C27" s="86"/>
      <c r="D27" s="26"/>
      <c r="E27" s="6">
        <f>E12-E25</f>
        <v>348.78999999999974</v>
      </c>
      <c r="F27" s="4"/>
      <c r="G27" s="6">
        <f>G12-G25</f>
        <v>1381.1951999999997</v>
      </c>
    </row>
    <row r="28" spans="1:8" x14ac:dyDescent="0.25">
      <c r="E28" s="3"/>
      <c r="F28" s="3"/>
      <c r="G28" s="3"/>
    </row>
    <row r="29" spans="1:8" x14ac:dyDescent="0.25">
      <c r="A29" s="8" t="s">
        <v>144</v>
      </c>
      <c r="B29" s="9"/>
      <c r="C29" s="9"/>
      <c r="D29" s="9"/>
      <c r="E29" s="9"/>
      <c r="F29" s="9"/>
      <c r="G29" s="9"/>
    </row>
    <row r="30" spans="1:8" x14ac:dyDescent="0.25">
      <c r="A30" t="s">
        <v>19</v>
      </c>
      <c r="E30" s="3">
        <v>256.24</v>
      </c>
      <c r="F30" s="3"/>
      <c r="G30" s="5"/>
      <c r="H30" t="str">
        <f t="shared" ref="H30:H31" si="2">IF(G30="","",IF(OR(G30&gt;E30*(1+0.5),G30&lt;E30*(1-0.5)),"La valeur saisie diffère grandement des coûts utilisés dans le modèle. Assurez-vous qu'il ne s'agit pas d'une erreur de saisie",""))</f>
        <v/>
      </c>
    </row>
    <row r="31" spans="1:8" x14ac:dyDescent="0.25">
      <c r="A31" t="s">
        <v>20</v>
      </c>
      <c r="E31" s="3">
        <v>356.22</v>
      </c>
      <c r="F31" s="3"/>
      <c r="G31" s="5"/>
      <c r="H31" t="str">
        <f t="shared" si="2"/>
        <v/>
      </c>
    </row>
    <row r="32" spans="1:8" x14ac:dyDescent="0.25">
      <c r="B32" s="1" t="s">
        <v>15</v>
      </c>
      <c r="E32" s="4">
        <f>SUM(E30:E31)</f>
        <v>612.46</v>
      </c>
      <c r="F32" s="4"/>
      <c r="G32" s="4">
        <f>SUM(G30:G31)</f>
        <v>0</v>
      </c>
    </row>
    <row r="33" spans="1:7" x14ac:dyDescent="0.25">
      <c r="E33" s="3"/>
      <c r="F33" s="3"/>
      <c r="G33" s="3"/>
    </row>
    <row r="34" spans="1:7" ht="48" customHeight="1" thickBot="1" x14ac:dyDescent="0.3">
      <c r="A34" s="86" t="s">
        <v>39</v>
      </c>
      <c r="B34" s="86"/>
      <c r="C34" s="86"/>
      <c r="D34" s="26"/>
      <c r="E34" s="7">
        <f>E27-E32</f>
        <v>-263.6700000000003</v>
      </c>
      <c r="F34" s="4"/>
      <c r="G34" s="7">
        <f>G27-G32</f>
        <v>1381.1951999999997</v>
      </c>
    </row>
    <row r="35" spans="1:7" ht="15.75" thickTop="1" x14ac:dyDescent="0.25"/>
  </sheetData>
  <dataConsolidate/>
  <mergeCells count="2">
    <mergeCell ref="A27:C27"/>
    <mergeCell ref="A34:C34"/>
  </mergeCells>
  <pageMargins left="0.7" right="0.7" top="0.75" bottom="0.75" header="0.3" footer="0.3"/>
  <pageSetup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0AF148-52F1-461B-8AA7-9DA533BBB27B}">
  <sheetPr>
    <tabColor theme="5" tint="0.79998168889431442"/>
  </sheetPr>
  <dimension ref="A1:H35"/>
  <sheetViews>
    <sheetView zoomScaleNormal="100" workbookViewId="0"/>
  </sheetViews>
  <sheetFormatPr baseColWidth="10" defaultColWidth="10.85546875" defaultRowHeight="15" outlineLevelRow="1" x14ac:dyDescent="0.25"/>
  <cols>
    <col min="1" max="3" width="13.140625" customWidth="1"/>
    <col min="4" max="4" width="13.140625" hidden="1" customWidth="1"/>
    <col min="5" max="5" width="12.42578125" bestFit="1" customWidth="1"/>
    <col min="6" max="6" width="2.5703125" customWidth="1"/>
  </cols>
  <sheetData>
    <row r="1" spans="1:8" x14ac:dyDescent="0.25">
      <c r="E1" s="2" t="s">
        <v>37</v>
      </c>
      <c r="F1" s="2"/>
      <c r="G1" s="2" t="s">
        <v>37</v>
      </c>
    </row>
    <row r="2" spans="1:8" ht="15.75" x14ac:dyDescent="0.25">
      <c r="E2" s="21" t="s">
        <v>7</v>
      </c>
      <c r="F2" s="12"/>
      <c r="G2" s="22" t="s">
        <v>25</v>
      </c>
    </row>
    <row r="3" spans="1:8" ht="7.35" customHeight="1" x14ac:dyDescent="0.25">
      <c r="E3" s="12"/>
      <c r="F3" s="12"/>
      <c r="G3" s="12"/>
    </row>
    <row r="4" spans="1:8" x14ac:dyDescent="0.25">
      <c r="A4" s="8" t="s">
        <v>12</v>
      </c>
      <c r="B4" s="9"/>
      <c r="C4" s="9"/>
      <c r="D4" s="9"/>
      <c r="E4" s="9"/>
      <c r="F4" s="9"/>
      <c r="G4" s="9"/>
    </row>
    <row r="5" spans="1:8" x14ac:dyDescent="0.25">
      <c r="A5" t="s">
        <v>47</v>
      </c>
      <c r="E5" s="3">
        <f>Saisies!B14*Saisies!B27</f>
        <v>971.25</v>
      </c>
      <c r="F5" s="3"/>
      <c r="G5" s="3">
        <f>IF(Saisies!C14="",Saisies!B14,Saisies!C14)*IF(Saisies!C27="",Saisies!B27,Saisies!C27)</f>
        <v>971.25</v>
      </c>
      <c r="H5" t="str">
        <f>IF(G5="","",IF(OR(G5&gt;E5*(1+0.5),G5&lt;E5*(1-0.5)),"La valeur saisie diffère grandement des coûts utilisés dans le modèle. Assurez-vous qu'il ne s'agit pas d'une erreur de saisie",""))</f>
        <v/>
      </c>
    </row>
    <row r="6" spans="1:8" x14ac:dyDescent="0.25">
      <c r="A6" t="s">
        <v>11</v>
      </c>
      <c r="E6" s="3">
        <f>IF(ASRA_Calculs!$B$8&lt;ASRA_Calculs!$C$8,(ASRA_Calculs!$C$8-ASRA_Calculs!$B$8)*ASRA_Calculs!$D$8,0)</f>
        <v>0</v>
      </c>
      <c r="F6" s="3"/>
      <c r="G6" s="3">
        <f>IF(ASRA_Calculs!$B$8&lt;ASRA_Calculs!$C$8,(ASRA_Calculs!$C$8-ASRA_Calculs!$B$8)*ASRA_Calculs!$D$8,0)</f>
        <v>0</v>
      </c>
      <c r="H6" t="str">
        <f t="shared" ref="H6:H9" si="0">IF(G6="","",IF(OR(G6&gt;E6*(1+0.5),G6&lt;E6*(1-0.5)),"La valeur saisie diffère grandement des coûts utilisés dans le modèle. Assurez-vous qu'il ne s'agit pas d'une erreur de saisie",""))</f>
        <v/>
      </c>
    </row>
    <row r="7" spans="1:8" x14ac:dyDescent="0.25">
      <c r="A7" t="s">
        <v>17</v>
      </c>
      <c r="E7" s="3">
        <v>0</v>
      </c>
      <c r="F7" s="3"/>
      <c r="G7" s="5"/>
      <c r="H7" t="str">
        <f t="shared" si="0"/>
        <v/>
      </c>
    </row>
    <row r="8" spans="1:8" outlineLevel="1" x14ac:dyDescent="0.25">
      <c r="A8" s="30" t="s">
        <v>145</v>
      </c>
      <c r="E8" s="3">
        <f>(E5+E7-E16)*0.042</f>
        <v>35.193480000000001</v>
      </c>
      <c r="F8" s="3"/>
      <c r="G8" s="3">
        <f>(G5-G16)*0.042</f>
        <v>40.792500000000004</v>
      </c>
    </row>
    <row r="9" spans="1:8" outlineLevel="1" x14ac:dyDescent="0.25">
      <c r="A9" s="30" t="s">
        <v>18</v>
      </c>
      <c r="E9" s="44">
        <f>E10-E8</f>
        <v>276.89651999999995</v>
      </c>
      <c r="F9" s="3"/>
      <c r="G9" s="5"/>
      <c r="H9" t="str">
        <f t="shared" si="0"/>
        <v/>
      </c>
    </row>
    <row r="10" spans="1:8" x14ac:dyDescent="0.25">
      <c r="A10" s="1" t="s">
        <v>18</v>
      </c>
      <c r="E10" s="4">
        <v>312.08999999999997</v>
      </c>
      <c r="F10" s="3"/>
      <c r="G10" s="43">
        <f>SUM(G8:G9)</f>
        <v>40.792500000000004</v>
      </c>
    </row>
    <row r="11" spans="1:8" x14ac:dyDescent="0.25">
      <c r="E11" s="3"/>
      <c r="F11" s="3"/>
      <c r="G11" s="3"/>
    </row>
    <row r="12" spans="1:8" x14ac:dyDescent="0.25">
      <c r="A12" s="1" t="s">
        <v>13</v>
      </c>
      <c r="E12" s="6">
        <f>SUM(E5:E7)+E10</f>
        <v>1283.3399999999999</v>
      </c>
      <c r="F12" s="4"/>
      <c r="G12" s="6">
        <f>SUM(G5:G7)+G10</f>
        <v>1012.0425</v>
      </c>
    </row>
    <row r="13" spans="1:8" x14ac:dyDescent="0.25">
      <c r="E13" s="3"/>
      <c r="F13" s="3"/>
      <c r="G13" s="3"/>
    </row>
    <row r="14" spans="1:8" x14ac:dyDescent="0.25">
      <c r="E14" s="3"/>
      <c r="F14" s="3"/>
      <c r="G14" s="3"/>
    </row>
    <row r="15" spans="1:8" x14ac:dyDescent="0.25">
      <c r="A15" s="8" t="s">
        <v>140</v>
      </c>
      <c r="B15" s="9"/>
      <c r="C15" s="9"/>
      <c r="D15" s="9"/>
      <c r="E15" s="9"/>
      <c r="F15" s="9"/>
      <c r="G15" s="9"/>
    </row>
    <row r="16" spans="1:8" x14ac:dyDescent="0.25">
      <c r="A16" t="s">
        <v>78</v>
      </c>
      <c r="E16" s="3">
        <v>133.31</v>
      </c>
      <c r="F16" s="3"/>
      <c r="G16" s="5"/>
      <c r="H16" t="str">
        <f t="shared" ref="H16:H24" si="1">IF(G16="","",IF(OR(G16&gt;E16*(1+0.5),G16&lt;E16*(1-0.5)),"La valeur saisie diffère grandement des coûts utilisés dans le modèle. Assurez-vous qu'il ne s'agit pas d'une erreur de saisie",""))</f>
        <v/>
      </c>
    </row>
    <row r="17" spans="1:8" x14ac:dyDescent="0.25">
      <c r="A17" t="s">
        <v>136</v>
      </c>
      <c r="E17" s="3">
        <v>60.05</v>
      </c>
      <c r="F17" s="3"/>
      <c r="G17" s="5"/>
      <c r="H17" t="str">
        <f t="shared" si="1"/>
        <v/>
      </c>
    </row>
    <row r="18" spans="1:8" x14ac:dyDescent="0.25">
      <c r="A18" t="s">
        <v>14</v>
      </c>
      <c r="D18">
        <f>39.03/2.1</f>
        <v>18.585714285714285</v>
      </c>
      <c r="E18" s="3">
        <v>39.03</v>
      </c>
      <c r="F18" s="3"/>
      <c r="G18" s="5"/>
    </row>
    <row r="19" spans="1:8" x14ac:dyDescent="0.25">
      <c r="A19" t="s">
        <v>137</v>
      </c>
      <c r="E19" s="3">
        <v>160.85</v>
      </c>
      <c r="F19" s="3"/>
      <c r="G19" s="5"/>
    </row>
    <row r="20" spans="1:8" x14ac:dyDescent="0.25">
      <c r="A20" t="s">
        <v>138</v>
      </c>
      <c r="E20" s="3">
        <v>200.93</v>
      </c>
      <c r="F20" s="3"/>
      <c r="G20" s="5"/>
    </row>
    <row r="21" spans="1:8" x14ac:dyDescent="0.25">
      <c r="A21" t="s">
        <v>139</v>
      </c>
      <c r="D21">
        <f>106.62/2.1</f>
        <v>50.771428571428572</v>
      </c>
      <c r="E21" s="3">
        <v>106.62</v>
      </c>
      <c r="F21" s="3"/>
      <c r="G21" s="5"/>
      <c r="H21" t="str">
        <f t="shared" si="1"/>
        <v/>
      </c>
    </row>
    <row r="22" spans="1:8" x14ac:dyDescent="0.25">
      <c r="A22" t="s">
        <v>142</v>
      </c>
      <c r="E22" s="3">
        <v>55.35</v>
      </c>
      <c r="F22" s="3"/>
      <c r="G22" s="5"/>
      <c r="H22" t="str">
        <f t="shared" si="1"/>
        <v/>
      </c>
    </row>
    <row r="23" spans="1:8" x14ac:dyDescent="0.25">
      <c r="A23" t="s">
        <v>143</v>
      </c>
      <c r="E23" s="3">
        <v>93.52</v>
      </c>
      <c r="F23" s="3"/>
      <c r="G23" s="5"/>
      <c r="H23" t="str">
        <f t="shared" si="1"/>
        <v/>
      </c>
    </row>
    <row r="24" spans="1:8" x14ac:dyDescent="0.25">
      <c r="A24" t="s">
        <v>16</v>
      </c>
      <c r="E24" s="3">
        <v>77.239999999999995</v>
      </c>
      <c r="F24" s="3"/>
      <c r="G24" s="5"/>
      <c r="H24" t="str">
        <f t="shared" si="1"/>
        <v/>
      </c>
    </row>
    <row r="25" spans="1:8" x14ac:dyDescent="0.25">
      <c r="B25" s="1" t="s">
        <v>15</v>
      </c>
      <c r="E25" s="6">
        <f>SUM(E16:E24)</f>
        <v>926.90000000000009</v>
      </c>
      <c r="F25" s="4"/>
      <c r="G25" s="6">
        <f>SUM(G16:G24)</f>
        <v>0</v>
      </c>
    </row>
    <row r="26" spans="1:8" x14ac:dyDescent="0.25">
      <c r="E26" s="3"/>
      <c r="F26" s="3"/>
      <c r="G26" s="3"/>
    </row>
    <row r="27" spans="1:8" ht="28.35" customHeight="1" x14ac:dyDescent="0.25">
      <c r="A27" s="86" t="s">
        <v>38</v>
      </c>
      <c r="B27" s="86"/>
      <c r="C27" s="86"/>
      <c r="D27" s="26"/>
      <c r="E27" s="6">
        <f>E12-E25</f>
        <v>356.43999999999983</v>
      </c>
      <c r="F27" s="4"/>
      <c r="G27" s="6">
        <f>G12-G25</f>
        <v>1012.0425</v>
      </c>
    </row>
    <row r="28" spans="1:8" x14ac:dyDescent="0.25">
      <c r="E28" s="3"/>
      <c r="F28" s="3"/>
      <c r="G28" s="3"/>
    </row>
    <row r="29" spans="1:8" x14ac:dyDescent="0.25">
      <c r="A29" s="8" t="s">
        <v>144</v>
      </c>
      <c r="B29" s="9"/>
      <c r="C29" s="9"/>
      <c r="D29" s="9"/>
      <c r="E29" s="9"/>
      <c r="F29" s="9"/>
      <c r="G29" s="9"/>
    </row>
    <row r="30" spans="1:8" x14ac:dyDescent="0.25">
      <c r="A30" t="s">
        <v>19</v>
      </c>
      <c r="E30" s="3">
        <v>254.5</v>
      </c>
      <c r="F30" s="3"/>
      <c r="G30" s="5"/>
      <c r="H30" t="str">
        <f t="shared" ref="H30:H31" si="2">IF(G30="","",IF(OR(G30&gt;E30*(1+0.5),G30&lt;E30*(1-0.5)),"La valeur saisie diffère grandement des coûts utilisés dans le modèle. Assurez-vous qu'il ne s'agit pas d'une erreur de saisie",""))</f>
        <v/>
      </c>
    </row>
    <row r="31" spans="1:8" x14ac:dyDescent="0.25">
      <c r="A31" t="s">
        <v>20</v>
      </c>
      <c r="E31" s="3">
        <v>324.72000000000003</v>
      </c>
      <c r="F31" s="3"/>
      <c r="G31" s="5"/>
      <c r="H31" t="str">
        <f t="shared" si="2"/>
        <v/>
      </c>
    </row>
    <row r="32" spans="1:8" x14ac:dyDescent="0.25">
      <c r="B32" s="1" t="s">
        <v>15</v>
      </c>
      <c r="E32" s="4">
        <f>SUM(E30:E31)</f>
        <v>579.22</v>
      </c>
      <c r="F32" s="4"/>
      <c r="G32" s="4">
        <f>SUM(G30:G31)</f>
        <v>0</v>
      </c>
    </row>
    <row r="33" spans="1:7" x14ac:dyDescent="0.25">
      <c r="E33" s="3"/>
      <c r="F33" s="3"/>
      <c r="G33" s="3"/>
    </row>
    <row r="34" spans="1:7" ht="48" customHeight="1" thickBot="1" x14ac:dyDescent="0.3">
      <c r="A34" s="86" t="s">
        <v>39</v>
      </c>
      <c r="B34" s="86"/>
      <c r="C34" s="86"/>
      <c r="D34" s="26"/>
      <c r="E34" s="7">
        <f>E27-E32</f>
        <v>-222.7800000000002</v>
      </c>
      <c r="F34" s="4"/>
      <c r="G34" s="7">
        <f>G27-G32</f>
        <v>1012.0425</v>
      </c>
    </row>
    <row r="35" spans="1:7" ht="15.75" thickTop="1" x14ac:dyDescent="0.25"/>
  </sheetData>
  <dataConsolidate/>
  <mergeCells count="2">
    <mergeCell ref="A27:C27"/>
    <mergeCell ref="A34:C34"/>
  </mergeCells>
  <pageMargins left="0.7" right="0.7" top="0.75" bottom="0.75" header="0.3" footer="0.3"/>
  <pageSetup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BF321E-38F8-4ABE-AA61-3F63D9552254}">
  <sheetPr>
    <tabColor theme="5" tint="0.79998168889431442"/>
  </sheetPr>
  <dimension ref="A1:H35"/>
  <sheetViews>
    <sheetView zoomScaleNormal="100" workbookViewId="0"/>
  </sheetViews>
  <sheetFormatPr baseColWidth="10" defaultColWidth="10.85546875" defaultRowHeight="15" outlineLevelRow="1" x14ac:dyDescent="0.25"/>
  <cols>
    <col min="1" max="3" width="13.140625" customWidth="1"/>
    <col min="4" max="4" width="13.140625" hidden="1" customWidth="1"/>
    <col min="5" max="5" width="12.42578125" bestFit="1" customWidth="1"/>
    <col min="6" max="6" width="2.5703125" customWidth="1"/>
  </cols>
  <sheetData>
    <row r="1" spans="1:8" x14ac:dyDescent="0.25">
      <c r="E1" s="2" t="s">
        <v>37</v>
      </c>
      <c r="F1" s="2"/>
      <c r="G1" s="2" t="s">
        <v>37</v>
      </c>
    </row>
    <row r="2" spans="1:8" ht="15.75" x14ac:dyDescent="0.25">
      <c r="E2" s="21" t="s">
        <v>7</v>
      </c>
      <c r="F2" s="12"/>
      <c r="G2" s="22" t="s">
        <v>25</v>
      </c>
    </row>
    <row r="3" spans="1:8" ht="7.35" customHeight="1" x14ac:dyDescent="0.25">
      <c r="E3" s="12"/>
      <c r="F3" s="12"/>
      <c r="G3" s="12"/>
    </row>
    <row r="4" spans="1:8" x14ac:dyDescent="0.25">
      <c r="A4" s="8" t="s">
        <v>12</v>
      </c>
      <c r="B4" s="9"/>
      <c r="C4" s="9"/>
      <c r="D4" s="9"/>
      <c r="E4" s="9"/>
      <c r="F4" s="9"/>
      <c r="G4" s="9"/>
    </row>
    <row r="5" spans="1:8" x14ac:dyDescent="0.25">
      <c r="A5" t="s">
        <v>47</v>
      </c>
      <c r="E5" s="3">
        <f>Saisies!B15*Saisies!B28</f>
        <v>1942.5</v>
      </c>
      <c r="F5" s="3"/>
      <c r="G5" s="3">
        <f>IF(Saisies!C15="",Saisies!B15,Saisies!C15)*IF(Saisies!C28="",Saisies!B28,Saisies!C28)</f>
        <v>1942.5</v>
      </c>
      <c r="H5" t="str">
        <f>IF(G5="","",IF(OR(G5&gt;E5*(1+0.5),G5&lt;E5*(1-0.5)),"La valeur saisie diffère grandement des coûts utilisés dans le modèle. Assurez-vous qu'il ne s'agit pas d'une erreur de saisie",""))</f>
        <v/>
      </c>
    </row>
    <row r="6" spans="1:8" x14ac:dyDescent="0.25">
      <c r="A6" t="s">
        <v>11</v>
      </c>
      <c r="E6" s="3">
        <f>IF(ASRA_Calculs!$B$8&lt;ASRA_Calculs!$C$8,(ASRA_Calculs!$C$8-ASRA_Calculs!$B$8)*ASRA_Calculs!$D$8,0)</f>
        <v>0</v>
      </c>
      <c r="F6" s="3"/>
      <c r="G6" s="3">
        <f>IF(ASRA_Calculs!$B$8&lt;ASRA_Calculs!$C$8,(ASRA_Calculs!$C$8-ASRA_Calculs!$B$8)*ASRA_Calculs!$D$8,0)</f>
        <v>0</v>
      </c>
      <c r="H6" t="str">
        <f t="shared" ref="H6:H9" si="0">IF(G6="","",IF(OR(G6&gt;E6*(1+0.5),G6&lt;E6*(1-0.5)),"La valeur saisie diffère grandement des coûts utilisés dans le modèle. Assurez-vous qu'il ne s'agit pas d'une erreur de saisie",""))</f>
        <v/>
      </c>
    </row>
    <row r="7" spans="1:8" x14ac:dyDescent="0.25">
      <c r="A7" t="s">
        <v>17</v>
      </c>
      <c r="E7" s="3">
        <v>0</v>
      </c>
      <c r="F7" s="3"/>
      <c r="G7" s="5"/>
      <c r="H7" t="str">
        <f t="shared" si="0"/>
        <v/>
      </c>
    </row>
    <row r="8" spans="1:8" outlineLevel="1" x14ac:dyDescent="0.25">
      <c r="A8" s="30" t="s">
        <v>145</v>
      </c>
      <c r="E8" s="3">
        <f>(E5+E7-E16)*0.042</f>
        <v>70.386960000000002</v>
      </c>
      <c r="F8" s="3"/>
      <c r="G8" s="3">
        <f>(G5-G16)*0.042</f>
        <v>81.585000000000008</v>
      </c>
    </row>
    <row r="9" spans="1:8" outlineLevel="1" x14ac:dyDescent="0.25">
      <c r="A9" s="30" t="s">
        <v>18</v>
      </c>
      <c r="E9" s="44">
        <f>E10-E8</f>
        <v>241.70303999999999</v>
      </c>
      <c r="F9" s="3"/>
      <c r="G9" s="5"/>
      <c r="H9" t="str">
        <f t="shared" si="0"/>
        <v/>
      </c>
    </row>
    <row r="10" spans="1:8" x14ac:dyDescent="0.25">
      <c r="A10" s="1" t="s">
        <v>18</v>
      </c>
      <c r="E10" s="4">
        <v>312.08999999999997</v>
      </c>
      <c r="F10" s="3"/>
      <c r="G10" s="43">
        <f>SUM(G8:G9)</f>
        <v>81.585000000000008</v>
      </c>
    </row>
    <row r="11" spans="1:8" x14ac:dyDescent="0.25">
      <c r="E11" s="3"/>
      <c r="F11" s="3"/>
      <c r="G11" s="3"/>
    </row>
    <row r="12" spans="1:8" x14ac:dyDescent="0.25">
      <c r="A12" s="1" t="s">
        <v>13</v>
      </c>
      <c r="E12" s="6">
        <f>SUM(E5:E7)+E10</f>
        <v>2254.59</v>
      </c>
      <c r="F12" s="4"/>
      <c r="G12" s="6">
        <f>SUM(G5:G7)+G10</f>
        <v>2024.085</v>
      </c>
    </row>
    <row r="13" spans="1:8" x14ac:dyDescent="0.25">
      <c r="E13" s="3"/>
      <c r="F13" s="3"/>
      <c r="G13" s="3"/>
    </row>
    <row r="14" spans="1:8" x14ac:dyDescent="0.25">
      <c r="E14" s="3"/>
      <c r="F14" s="3"/>
      <c r="G14" s="3"/>
    </row>
    <row r="15" spans="1:8" x14ac:dyDescent="0.25">
      <c r="A15" s="8" t="s">
        <v>140</v>
      </c>
      <c r="B15" s="9"/>
      <c r="C15" s="9"/>
      <c r="D15" s="9"/>
      <c r="E15" s="9"/>
      <c r="F15" s="9"/>
      <c r="G15" s="9"/>
    </row>
    <row r="16" spans="1:8" x14ac:dyDescent="0.25">
      <c r="A16" t="s">
        <v>78</v>
      </c>
      <c r="E16" s="3">
        <f>133.31*2</f>
        <v>266.62</v>
      </c>
      <c r="F16" s="3"/>
      <c r="G16" s="5"/>
      <c r="H16" t="str">
        <f t="shared" ref="H16:H24" si="1">IF(G16="","",IF(OR(G16&gt;E16*(1+0.5),G16&lt;E16*(1-0.5)),"La valeur saisie diffère grandement des coûts utilisés dans le modèle. Assurez-vous qu'il ne s'agit pas d'une erreur de saisie",""))</f>
        <v/>
      </c>
    </row>
    <row r="17" spans="1:8" x14ac:dyDescent="0.25">
      <c r="A17" t="s">
        <v>136</v>
      </c>
      <c r="E17" s="3">
        <v>60.05</v>
      </c>
      <c r="F17" s="3"/>
      <c r="G17" s="5"/>
      <c r="H17" t="str">
        <f t="shared" si="1"/>
        <v/>
      </c>
    </row>
    <row r="18" spans="1:8" x14ac:dyDescent="0.25">
      <c r="A18" t="s">
        <v>14</v>
      </c>
      <c r="D18">
        <f>39.03/4.2</f>
        <v>9.2928571428571427</v>
      </c>
      <c r="E18" s="3">
        <v>39.03</v>
      </c>
      <c r="F18" s="3"/>
      <c r="G18" s="5"/>
    </row>
    <row r="19" spans="1:8" x14ac:dyDescent="0.25">
      <c r="A19" t="s">
        <v>137</v>
      </c>
      <c r="E19" s="3">
        <v>160.85</v>
      </c>
      <c r="F19" s="3"/>
      <c r="G19" s="5"/>
    </row>
    <row r="20" spans="1:8" x14ac:dyDescent="0.25">
      <c r="A20" t="s">
        <v>138</v>
      </c>
      <c r="E20" s="3">
        <v>200.93</v>
      </c>
      <c r="F20" s="3"/>
      <c r="G20" s="5"/>
    </row>
    <row r="21" spans="1:8" x14ac:dyDescent="0.25">
      <c r="A21" t="s">
        <v>139</v>
      </c>
      <c r="D21">
        <f>106.62/4.2</f>
        <v>25.385714285714286</v>
      </c>
      <c r="E21" s="3">
        <v>106.62</v>
      </c>
      <c r="F21" s="3"/>
      <c r="G21" s="5"/>
      <c r="H21" t="str">
        <f t="shared" si="1"/>
        <v/>
      </c>
    </row>
    <row r="22" spans="1:8" x14ac:dyDescent="0.25">
      <c r="A22" t="s">
        <v>142</v>
      </c>
      <c r="E22" s="3">
        <v>55.35</v>
      </c>
      <c r="F22" s="3"/>
      <c r="G22" s="5"/>
      <c r="H22" t="str">
        <f t="shared" si="1"/>
        <v/>
      </c>
    </row>
    <row r="23" spans="1:8" x14ac:dyDescent="0.25">
      <c r="A23" t="s">
        <v>143</v>
      </c>
      <c r="E23" s="3">
        <v>93.52</v>
      </c>
      <c r="F23" s="3"/>
      <c r="G23" s="5"/>
      <c r="H23" t="str">
        <f t="shared" si="1"/>
        <v/>
      </c>
    </row>
    <row r="24" spans="1:8" x14ac:dyDescent="0.25">
      <c r="A24" t="s">
        <v>16</v>
      </c>
      <c r="E24" s="3">
        <v>77.239999999999995</v>
      </c>
      <c r="F24" s="3"/>
      <c r="G24" s="5"/>
      <c r="H24" t="str">
        <f t="shared" si="1"/>
        <v/>
      </c>
    </row>
    <row r="25" spans="1:8" x14ac:dyDescent="0.25">
      <c r="B25" s="1" t="s">
        <v>15</v>
      </c>
      <c r="E25" s="6">
        <f>SUM(E16:E24)</f>
        <v>1060.21</v>
      </c>
      <c r="F25" s="4"/>
      <c r="G25" s="6">
        <f>SUM(G16:G24)</f>
        <v>0</v>
      </c>
    </row>
    <row r="26" spans="1:8" x14ac:dyDescent="0.25">
      <c r="E26" s="3"/>
      <c r="F26" s="3"/>
      <c r="G26" s="3"/>
    </row>
    <row r="27" spans="1:8" ht="28.35" customHeight="1" x14ac:dyDescent="0.25">
      <c r="A27" s="86" t="s">
        <v>38</v>
      </c>
      <c r="B27" s="86"/>
      <c r="C27" s="86"/>
      <c r="D27" s="26"/>
      <c r="E27" s="6">
        <f>E12-E25</f>
        <v>1194.3800000000001</v>
      </c>
      <c r="F27" s="4"/>
      <c r="G27" s="6">
        <f>G12-G25</f>
        <v>2024.085</v>
      </c>
    </row>
    <row r="28" spans="1:8" x14ac:dyDescent="0.25">
      <c r="E28" s="3"/>
      <c r="F28" s="3"/>
      <c r="G28" s="3"/>
    </row>
    <row r="29" spans="1:8" x14ac:dyDescent="0.25">
      <c r="A29" s="8" t="s">
        <v>144</v>
      </c>
      <c r="B29" s="9"/>
      <c r="C29" s="9"/>
      <c r="D29" s="9"/>
      <c r="E29" s="9"/>
      <c r="F29" s="9"/>
      <c r="G29" s="9"/>
    </row>
    <row r="30" spans="1:8" x14ac:dyDescent="0.25">
      <c r="A30" t="s">
        <v>19</v>
      </c>
      <c r="E30" s="3">
        <v>254.5</v>
      </c>
      <c r="F30" s="3"/>
      <c r="G30" s="5"/>
      <c r="H30" t="str">
        <f t="shared" ref="H30:H31" si="2">IF(G30="","",IF(OR(G30&gt;E30*(1+0.5),G30&lt;E30*(1-0.5)),"La valeur saisie diffère grandement des coûts utilisés dans le modèle. Assurez-vous qu'il ne s'agit pas d'une erreur de saisie",""))</f>
        <v/>
      </c>
    </row>
    <row r="31" spans="1:8" x14ac:dyDescent="0.25">
      <c r="A31" t="s">
        <v>20</v>
      </c>
      <c r="E31" s="3">
        <v>324.72000000000003</v>
      </c>
      <c r="F31" s="3"/>
      <c r="G31" s="5"/>
      <c r="H31" t="str">
        <f t="shared" si="2"/>
        <v/>
      </c>
    </row>
    <row r="32" spans="1:8" x14ac:dyDescent="0.25">
      <c r="B32" s="1" t="s">
        <v>15</v>
      </c>
      <c r="E32" s="4">
        <f>SUM(E30:E31)</f>
        <v>579.22</v>
      </c>
      <c r="F32" s="4"/>
      <c r="G32" s="4">
        <f>SUM(G30:G31)</f>
        <v>0</v>
      </c>
    </row>
    <row r="33" spans="1:7" x14ac:dyDescent="0.25">
      <c r="E33" s="3"/>
      <c r="F33" s="3"/>
      <c r="G33" s="3"/>
    </row>
    <row r="34" spans="1:7" ht="48" customHeight="1" thickBot="1" x14ac:dyDescent="0.3">
      <c r="A34" s="86" t="s">
        <v>39</v>
      </c>
      <c r="B34" s="86"/>
      <c r="C34" s="86"/>
      <c r="D34" s="26"/>
      <c r="E34" s="7">
        <f>E27-E32</f>
        <v>615.16000000000008</v>
      </c>
      <c r="F34" s="4"/>
      <c r="G34" s="7">
        <f>G27-G32</f>
        <v>2024.085</v>
      </c>
    </row>
    <row r="35" spans="1:7" ht="15.75" thickTop="1" x14ac:dyDescent="0.25"/>
  </sheetData>
  <dataConsolidate/>
  <mergeCells count="2">
    <mergeCell ref="A27:C27"/>
    <mergeCell ref="A34:C34"/>
  </mergeCells>
  <pageMargins left="0.7" right="0.7" top="0.75" bottom="0.75" header="0.3" footer="0.3"/>
  <pageSetup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F91B4F-8D87-4A82-8B18-B57D6991E1B6}">
  <dimension ref="A1:F11"/>
  <sheetViews>
    <sheetView zoomScaleNormal="100" workbookViewId="0">
      <selection sqref="A1:E1"/>
    </sheetView>
  </sheetViews>
  <sheetFormatPr baseColWidth="10" defaultColWidth="10.85546875" defaultRowHeight="15" x14ac:dyDescent="0.25"/>
  <cols>
    <col min="1" max="1" width="36.140625" customWidth="1"/>
    <col min="2" max="2" width="14.5703125" bestFit="1" customWidth="1"/>
    <col min="3" max="4" width="12" customWidth="1"/>
  </cols>
  <sheetData>
    <row r="1" spans="1:6" x14ac:dyDescent="0.25">
      <c r="A1" s="82" t="s">
        <v>156</v>
      </c>
      <c r="B1" s="82"/>
      <c r="C1" s="82"/>
      <c r="D1" s="82"/>
      <c r="E1" s="82"/>
      <c r="F1" s="51"/>
    </row>
    <row r="2" spans="1:6" x14ac:dyDescent="0.25">
      <c r="B2" s="28" t="s">
        <v>106</v>
      </c>
      <c r="C2" s="28" t="s">
        <v>107</v>
      </c>
      <c r="D2" s="28" t="s">
        <v>97</v>
      </c>
      <c r="E2" s="28" t="s">
        <v>97</v>
      </c>
    </row>
    <row r="3" spans="1:6" x14ac:dyDescent="0.25">
      <c r="A3" t="s">
        <v>98</v>
      </c>
    </row>
    <row r="4" spans="1:6" x14ac:dyDescent="0.25">
      <c r="A4" s="30" t="s">
        <v>154</v>
      </c>
      <c r="B4">
        <f>(4+15)/2</f>
        <v>9.5</v>
      </c>
      <c r="C4">
        <v>190.46</v>
      </c>
      <c r="D4">
        <f>ROUND(B4/25*C4,2)</f>
        <v>72.37</v>
      </c>
    </row>
    <row r="5" spans="1:6" x14ac:dyDescent="0.25">
      <c r="A5" t="s">
        <v>99</v>
      </c>
      <c r="E5">
        <f>SUM(D4:D4)</f>
        <v>72.37</v>
      </c>
    </row>
    <row r="6" spans="1:6" x14ac:dyDescent="0.25">
      <c r="A6" t="s">
        <v>108</v>
      </c>
      <c r="E6">
        <v>54.45</v>
      </c>
    </row>
    <row r="8" spans="1:6" x14ac:dyDescent="0.25">
      <c r="A8" t="s">
        <v>109</v>
      </c>
      <c r="E8">
        <f>E5+E6</f>
        <v>126.82000000000001</v>
      </c>
    </row>
    <row r="11" spans="1:6" ht="59.1" customHeight="1" x14ac:dyDescent="0.25">
      <c r="A11" s="80" t="s">
        <v>157</v>
      </c>
      <c r="B11" s="80"/>
      <c r="C11" s="80"/>
      <c r="D11" s="80"/>
      <c r="E11" s="80"/>
    </row>
  </sheetData>
  <mergeCells count="2">
    <mergeCell ref="A1:E1"/>
    <mergeCell ref="A11:E11"/>
  </mergeCells>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6B0033-4961-4677-8705-4148E3CE4ED7}">
  <dimension ref="A1:D8"/>
  <sheetViews>
    <sheetView zoomScaleNormal="100" workbookViewId="0">
      <selection activeCell="E14" sqref="E14"/>
    </sheetView>
  </sheetViews>
  <sheetFormatPr baseColWidth="10" defaultColWidth="10.85546875" defaultRowHeight="15" x14ac:dyDescent="0.25"/>
  <cols>
    <col min="1" max="1" width="23.85546875" bestFit="1" customWidth="1"/>
    <col min="2" max="2" width="19.85546875" bestFit="1" customWidth="1"/>
    <col min="3" max="3" width="13.140625" bestFit="1" customWidth="1"/>
    <col min="4" max="4" width="19.85546875" bestFit="1" customWidth="1"/>
  </cols>
  <sheetData>
    <row r="1" spans="1:4" x14ac:dyDescent="0.25">
      <c r="A1" s="1" t="s">
        <v>45</v>
      </c>
      <c r="B1" s="1" t="s">
        <v>42</v>
      </c>
      <c r="C1" s="1" t="s">
        <v>40</v>
      </c>
      <c r="D1" s="1" t="s">
        <v>41</v>
      </c>
    </row>
    <row r="2" spans="1:4" x14ac:dyDescent="0.25">
      <c r="A2" t="s">
        <v>0</v>
      </c>
      <c r="B2">
        <v>0</v>
      </c>
      <c r="C2">
        <v>0</v>
      </c>
      <c r="D2">
        <v>0</v>
      </c>
    </row>
    <row r="3" spans="1:4" x14ac:dyDescent="0.25">
      <c r="A3" t="s">
        <v>1</v>
      </c>
      <c r="B3">
        <v>0</v>
      </c>
      <c r="C3">
        <v>0</v>
      </c>
      <c r="D3">
        <v>0</v>
      </c>
    </row>
    <row r="4" spans="1:4" x14ac:dyDescent="0.25">
      <c r="A4" t="s">
        <v>2</v>
      </c>
      <c r="B4">
        <v>240.5</v>
      </c>
      <c r="C4">
        <v>240.12</v>
      </c>
      <c r="D4">
        <v>3.21</v>
      </c>
    </row>
    <row r="5" spans="1:4" x14ac:dyDescent="0.25">
      <c r="A5" t="s">
        <v>3</v>
      </c>
      <c r="B5">
        <v>272.29000000000002</v>
      </c>
      <c r="C5">
        <v>243.64</v>
      </c>
      <c r="D5">
        <v>2.8</v>
      </c>
    </row>
    <row r="6" spans="1:4" x14ac:dyDescent="0.25">
      <c r="A6" t="s">
        <v>43</v>
      </c>
      <c r="B6">
        <v>277.08999999999997</v>
      </c>
      <c r="C6">
        <v>276.01</v>
      </c>
      <c r="D6">
        <v>3.73</v>
      </c>
    </row>
    <row r="7" spans="1:4" x14ac:dyDescent="0.25">
      <c r="A7" t="s">
        <v>44</v>
      </c>
      <c r="B7">
        <v>257.52999999999997</v>
      </c>
      <c r="C7">
        <v>283.10000000000002</v>
      </c>
      <c r="D7">
        <v>3.56</v>
      </c>
    </row>
    <row r="8" spans="1:4" x14ac:dyDescent="0.25">
      <c r="A8" t="s">
        <v>114</v>
      </c>
      <c r="B8">
        <v>0</v>
      </c>
      <c r="C8">
        <v>0</v>
      </c>
      <c r="D8">
        <v>0</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E36199-A450-459E-A28B-EF856DFAB310}">
  <dimension ref="A1:B14"/>
  <sheetViews>
    <sheetView zoomScaleNormal="100" workbookViewId="0">
      <selection activeCell="F5" sqref="F5"/>
    </sheetView>
  </sheetViews>
  <sheetFormatPr baseColWidth="10" defaultColWidth="10.85546875" defaultRowHeight="15" x14ac:dyDescent="0.25"/>
  <cols>
    <col min="1" max="1" width="17.85546875" customWidth="1"/>
    <col min="2" max="2" width="29.85546875" customWidth="1"/>
  </cols>
  <sheetData>
    <row r="1" spans="1:2" x14ac:dyDescent="0.25">
      <c r="A1" s="82" t="s">
        <v>21</v>
      </c>
      <c r="B1" s="82"/>
    </row>
    <row r="2" spans="1:2" x14ac:dyDescent="0.25">
      <c r="B2" s="2" t="s">
        <v>148</v>
      </c>
    </row>
    <row r="3" spans="1:2" x14ac:dyDescent="0.25">
      <c r="A3" t="s">
        <v>0</v>
      </c>
      <c r="B3">
        <v>8.5</v>
      </c>
    </row>
    <row r="4" spans="1:2" x14ac:dyDescent="0.25">
      <c r="A4" t="s">
        <v>1</v>
      </c>
      <c r="B4">
        <v>2.6</v>
      </c>
    </row>
    <row r="5" spans="1:2" x14ac:dyDescent="0.25">
      <c r="A5" t="s">
        <v>2</v>
      </c>
      <c r="B5">
        <v>2.9</v>
      </c>
    </row>
    <row r="6" spans="1:2" x14ac:dyDescent="0.25">
      <c r="A6" t="s">
        <v>3</v>
      </c>
      <c r="B6">
        <v>2.2000000000000002</v>
      </c>
    </row>
    <row r="7" spans="1:2" x14ac:dyDescent="0.25">
      <c r="A7" t="s">
        <v>23</v>
      </c>
      <c r="B7" s="39">
        <f>ROUND(B8*1.35,1)</f>
        <v>3.2</v>
      </c>
    </row>
    <row r="8" spans="1:2" x14ac:dyDescent="0.25">
      <c r="A8" t="s">
        <v>24</v>
      </c>
      <c r="B8">
        <v>2.4</v>
      </c>
    </row>
    <row r="9" spans="1:2" x14ac:dyDescent="0.25">
      <c r="A9" t="s">
        <v>114</v>
      </c>
      <c r="B9">
        <v>2.1</v>
      </c>
    </row>
    <row r="10" spans="1:2" x14ac:dyDescent="0.25">
      <c r="A10" t="s">
        <v>76</v>
      </c>
      <c r="B10" s="39">
        <f>B7+1</f>
        <v>4.2</v>
      </c>
    </row>
    <row r="12" spans="1:2" x14ac:dyDescent="0.25">
      <c r="A12" s="1" t="s">
        <v>26</v>
      </c>
      <c r="B12" t="str">
        <f>Saisies!B1&amp;" "&amp;Saisies!B2</f>
        <v>Centrale Biologique</v>
      </c>
    </row>
    <row r="14" spans="1:2" x14ac:dyDescent="0.25">
      <c r="A14" s="57"/>
      <c r="B14" s="57"/>
    </row>
  </sheetData>
  <mergeCells count="1">
    <mergeCell ref="A1:B1"/>
  </mergeCells>
  <pageMargins left="0.7" right="0.7" top="0.75" bottom="0.75" header="0.3" footer="0.3"/>
  <legacyDrawing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578EEC-E432-4E98-A6F6-E843FCD512EB}">
  <dimension ref="A1:B12"/>
  <sheetViews>
    <sheetView workbookViewId="0">
      <selection activeCell="B3" sqref="B3"/>
    </sheetView>
  </sheetViews>
  <sheetFormatPr baseColWidth="10" defaultColWidth="10.85546875" defaultRowHeight="15" x14ac:dyDescent="0.25"/>
  <cols>
    <col min="1" max="1" width="17.42578125" customWidth="1"/>
    <col min="2" max="2" width="22.42578125" bestFit="1" customWidth="1"/>
  </cols>
  <sheetData>
    <row r="1" spans="1:2" x14ac:dyDescent="0.25">
      <c r="A1" s="82" t="s">
        <v>22</v>
      </c>
      <c r="B1" s="82"/>
    </row>
    <row r="2" spans="1:2" x14ac:dyDescent="0.25">
      <c r="B2" s="2" t="s">
        <v>148</v>
      </c>
    </row>
    <row r="3" spans="1:2" x14ac:dyDescent="0.25">
      <c r="A3" t="s">
        <v>0</v>
      </c>
      <c r="B3" s="3">
        <v>431.7</v>
      </c>
    </row>
    <row r="4" spans="1:2" x14ac:dyDescent="0.25">
      <c r="A4" t="s">
        <v>1</v>
      </c>
      <c r="B4" s="3">
        <v>1018</v>
      </c>
    </row>
    <row r="5" spans="1:2" x14ac:dyDescent="0.25">
      <c r="A5" t="s">
        <v>2</v>
      </c>
      <c r="B5" s="3">
        <v>565</v>
      </c>
    </row>
    <row r="6" spans="1:2" x14ac:dyDescent="0.25">
      <c r="A6" t="s">
        <v>3</v>
      </c>
      <c r="B6" s="3">
        <v>435</v>
      </c>
    </row>
    <row r="7" spans="1:2" x14ac:dyDescent="0.25">
      <c r="A7" t="s">
        <v>23</v>
      </c>
      <c r="B7" s="3">
        <f>B8</f>
        <v>569.79999999999995</v>
      </c>
    </row>
    <row r="8" spans="1:2" x14ac:dyDescent="0.25">
      <c r="A8" t="s">
        <v>24</v>
      </c>
      <c r="B8" s="3">
        <v>569.79999999999995</v>
      </c>
    </row>
    <row r="9" spans="1:2" x14ac:dyDescent="0.25">
      <c r="A9" t="s">
        <v>114</v>
      </c>
      <c r="B9" s="3">
        <v>462.5</v>
      </c>
    </row>
    <row r="10" spans="1:2" x14ac:dyDescent="0.25">
      <c r="A10" t="s">
        <v>76</v>
      </c>
      <c r="B10" s="3">
        <v>462.5</v>
      </c>
    </row>
    <row r="12" spans="1:2" x14ac:dyDescent="0.25">
      <c r="A12" s="1" t="s">
        <v>27</v>
      </c>
      <c r="B12" t="str">
        <f>Saisies!B1&amp;" "&amp;Saisies!B2</f>
        <v>Centrale Biologique</v>
      </c>
    </row>
  </sheetData>
  <mergeCells count="1">
    <mergeCell ref="A1:B1"/>
  </mergeCell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F39D80-73E6-4C99-9475-E2E6B7935F86}">
  <dimension ref="A1:BV33"/>
  <sheetViews>
    <sheetView workbookViewId="0"/>
  </sheetViews>
  <sheetFormatPr baseColWidth="10" defaultColWidth="10.85546875" defaultRowHeight="15" x14ac:dyDescent="0.25"/>
  <cols>
    <col min="1" max="3" width="13.140625" customWidth="1"/>
    <col min="4" max="5" width="11.5703125" customWidth="1"/>
    <col min="6" max="6" width="2.5703125" customWidth="1"/>
    <col min="7" max="8" width="11.5703125" customWidth="1"/>
    <col min="9" max="9" width="2.5703125" customWidth="1"/>
    <col min="10" max="11" width="11.5703125" customWidth="1"/>
    <col min="12" max="12" width="2.5703125" customWidth="1"/>
    <col min="13" max="14" width="11.5703125" customWidth="1"/>
    <col min="15" max="15" width="2.5703125" customWidth="1"/>
    <col min="16" max="17" width="11.5703125" customWidth="1"/>
    <col min="18" max="18" width="2.5703125" customWidth="1"/>
    <col min="19" max="20" width="11.5703125" customWidth="1"/>
    <col min="21" max="21" width="2.5703125" customWidth="1"/>
    <col min="22" max="23" width="11.5703125" customWidth="1"/>
    <col min="24" max="24" width="2.5703125" customWidth="1"/>
    <col min="25" max="26" width="11.5703125" customWidth="1"/>
    <col min="27" max="27" width="2.5703125" customWidth="1"/>
    <col min="30" max="30" width="2.5703125" customWidth="1"/>
    <col min="33" max="33" width="2.5703125" customWidth="1"/>
    <col min="36" max="36" width="2.5703125" customWidth="1"/>
    <col min="39" max="39" width="2.5703125" customWidth="1"/>
    <col min="42" max="42" width="2.5703125" customWidth="1"/>
    <col min="45" max="45" width="2.5703125" customWidth="1"/>
    <col min="46" max="47" width="11.5703125" customWidth="1"/>
    <col min="48" max="48" width="2.5703125" customWidth="1"/>
    <col min="49" max="50" width="11.5703125" customWidth="1"/>
    <col min="51" max="51" width="2.5703125" customWidth="1"/>
    <col min="54" max="54" width="2.5703125" customWidth="1"/>
    <col min="57" max="57" width="2.5703125" customWidth="1"/>
    <col min="60" max="60" width="2.5703125" customWidth="1"/>
    <col min="63" max="63" width="2.5703125" customWidth="1"/>
    <col min="66" max="66" width="2.5703125" customWidth="1"/>
    <col min="69" max="69" width="2.5703125" customWidth="1"/>
    <col min="70" max="71" width="11.5703125" customWidth="1"/>
    <col min="72" max="72" width="2.5703125" customWidth="1"/>
    <col min="73" max="74" width="11.5703125" customWidth="1"/>
  </cols>
  <sheetData>
    <row r="1" spans="1:74" x14ac:dyDescent="0.25">
      <c r="D1" s="82" t="s">
        <v>111</v>
      </c>
      <c r="E1" s="82"/>
      <c r="F1" s="82"/>
      <c r="G1" s="82"/>
      <c r="H1" s="82"/>
      <c r="I1" s="82"/>
      <c r="J1" s="82"/>
      <c r="K1" s="82"/>
      <c r="L1" s="82"/>
      <c r="M1" s="82"/>
      <c r="N1" s="82"/>
      <c r="O1" s="82"/>
      <c r="P1" s="82"/>
      <c r="Q1" s="82"/>
      <c r="R1" s="82"/>
      <c r="S1" s="82"/>
      <c r="T1" s="82"/>
      <c r="U1" s="82"/>
      <c r="V1" s="82"/>
      <c r="W1" s="82"/>
      <c r="X1" s="82"/>
      <c r="Y1" s="82"/>
      <c r="Z1" s="87"/>
      <c r="AA1" s="37"/>
      <c r="AB1" s="88" t="s">
        <v>112</v>
      </c>
      <c r="AC1" s="82"/>
      <c r="AD1" s="82"/>
      <c r="AE1" s="82"/>
      <c r="AF1" s="82"/>
      <c r="AG1" s="82"/>
      <c r="AH1" s="82"/>
      <c r="AI1" s="82"/>
      <c r="AJ1" s="82"/>
      <c r="AK1" s="82"/>
      <c r="AL1" s="82"/>
      <c r="AM1" s="82"/>
      <c r="AN1" s="82"/>
      <c r="AO1" s="82"/>
      <c r="AP1" s="82"/>
      <c r="AQ1" s="82"/>
      <c r="AR1" s="82"/>
      <c r="AS1" s="82"/>
      <c r="AT1" s="82"/>
      <c r="AU1" s="82"/>
      <c r="AV1" s="82"/>
      <c r="AW1" s="82"/>
      <c r="AX1" s="87"/>
      <c r="AY1" s="37"/>
      <c r="AZ1" s="88" t="s">
        <v>116</v>
      </c>
      <c r="BA1" s="82"/>
      <c r="BB1" s="82"/>
      <c r="BC1" s="82"/>
      <c r="BD1" s="82"/>
      <c r="BE1" s="82"/>
      <c r="BF1" s="82"/>
      <c r="BG1" s="82"/>
      <c r="BH1" s="82"/>
      <c r="BI1" s="82"/>
      <c r="BJ1" s="82"/>
      <c r="BK1" s="82"/>
      <c r="BL1" s="82"/>
      <c r="BM1" s="82"/>
      <c r="BN1" s="82"/>
      <c r="BO1" s="82"/>
      <c r="BP1" s="82"/>
      <c r="BQ1" s="82"/>
      <c r="BR1" s="82"/>
      <c r="BS1" s="82"/>
      <c r="BT1" s="82"/>
      <c r="BU1" s="82"/>
      <c r="BV1" s="82"/>
    </row>
    <row r="2" spans="1:74" x14ac:dyDescent="0.25">
      <c r="D2" s="2" t="str">
        <f>Saisies!B1</f>
        <v>Centrale</v>
      </c>
      <c r="E2" s="2" t="s">
        <v>46</v>
      </c>
      <c r="G2" s="2" t="str">
        <f>D2</f>
        <v>Centrale</v>
      </c>
      <c r="H2" s="2" t="s">
        <v>46</v>
      </c>
      <c r="J2" s="2" t="str">
        <f>G2</f>
        <v>Centrale</v>
      </c>
      <c r="K2" s="2" t="s">
        <v>46</v>
      </c>
      <c r="M2" s="2" t="str">
        <f>J2</f>
        <v>Centrale</v>
      </c>
      <c r="N2" s="2" t="s">
        <v>46</v>
      </c>
      <c r="P2" s="2" t="str">
        <f>M2</f>
        <v>Centrale</v>
      </c>
      <c r="Q2" s="2" t="s">
        <v>46</v>
      </c>
      <c r="S2" s="2" t="str">
        <f>P2</f>
        <v>Centrale</v>
      </c>
      <c r="T2" s="2" t="s">
        <v>46</v>
      </c>
      <c r="V2" s="2" t="s">
        <v>7</v>
      </c>
      <c r="W2" s="2" t="s">
        <v>46</v>
      </c>
      <c r="Y2" s="2" t="s">
        <v>7</v>
      </c>
      <c r="Z2" s="2" t="s">
        <v>46</v>
      </c>
      <c r="AA2" s="37"/>
      <c r="AB2" s="31" t="str">
        <f>D2</f>
        <v>Centrale</v>
      </c>
      <c r="AC2" s="2" t="s">
        <v>46</v>
      </c>
      <c r="AE2" s="2" t="str">
        <f>AB2</f>
        <v>Centrale</v>
      </c>
      <c r="AF2" s="2" t="s">
        <v>46</v>
      </c>
      <c r="AH2" s="2" t="str">
        <f>AE2</f>
        <v>Centrale</v>
      </c>
      <c r="AI2" s="2" t="s">
        <v>46</v>
      </c>
      <c r="AK2" s="2" t="str">
        <f>AH2</f>
        <v>Centrale</v>
      </c>
      <c r="AL2" s="2" t="s">
        <v>46</v>
      </c>
      <c r="AN2" s="2" t="str">
        <f>AK2</f>
        <v>Centrale</v>
      </c>
      <c r="AO2" s="2" t="s">
        <v>46</v>
      </c>
      <c r="AQ2" s="2" t="str">
        <f>AN2</f>
        <v>Centrale</v>
      </c>
      <c r="AR2" s="2" t="s">
        <v>46</v>
      </c>
      <c r="AT2" s="2" t="str">
        <f>AQ2</f>
        <v>Centrale</v>
      </c>
      <c r="AU2" s="2" t="str">
        <f>AR2</f>
        <v>Votre ferme</v>
      </c>
      <c r="AW2" s="2" t="str">
        <f>AT2</f>
        <v>Centrale</v>
      </c>
      <c r="AX2" s="2" t="str">
        <f>AU2</f>
        <v>Votre ferme</v>
      </c>
      <c r="AY2" s="37"/>
      <c r="AZ2" s="31" t="str">
        <f>AB2</f>
        <v>Centrale</v>
      </c>
      <c r="BA2" s="2" t="s">
        <v>46</v>
      </c>
      <c r="BC2" s="2" t="str">
        <f>AZ2</f>
        <v>Centrale</v>
      </c>
      <c r="BD2" s="2" t="s">
        <v>46</v>
      </c>
      <c r="BF2" s="2" t="str">
        <f>BC2</f>
        <v>Centrale</v>
      </c>
      <c r="BG2" s="2" t="s">
        <v>46</v>
      </c>
      <c r="BI2" s="2" t="str">
        <f>BF2</f>
        <v>Centrale</v>
      </c>
      <c r="BJ2" s="2" t="s">
        <v>46</v>
      </c>
      <c r="BL2" s="2" t="str">
        <f>BI2</f>
        <v>Centrale</v>
      </c>
      <c r="BM2" s="2" t="s">
        <v>46</v>
      </c>
      <c r="BO2" s="2" t="str">
        <f>BL2</f>
        <v>Centrale</v>
      </c>
      <c r="BP2" s="2" t="s">
        <v>46</v>
      </c>
      <c r="BR2" s="2" t="str">
        <f>BO2</f>
        <v>Centrale</v>
      </c>
      <c r="BS2" s="2" t="str">
        <f>BP2</f>
        <v>Votre ferme</v>
      </c>
      <c r="BU2" s="2" t="str">
        <f>BR2</f>
        <v>Centrale</v>
      </c>
      <c r="BV2" s="2" t="str">
        <f>BS2</f>
        <v>Votre ferme</v>
      </c>
    </row>
    <row r="3" spans="1:74" ht="15.75" x14ac:dyDescent="0.25">
      <c r="D3" s="23" t="s">
        <v>0</v>
      </c>
      <c r="E3" s="22" t="s">
        <v>0</v>
      </c>
      <c r="G3" s="23" t="s">
        <v>1</v>
      </c>
      <c r="H3" s="22" t="s">
        <v>1</v>
      </c>
      <c r="J3" s="23" t="s">
        <v>2</v>
      </c>
      <c r="K3" s="22" t="s">
        <v>2</v>
      </c>
      <c r="M3" s="23" t="s">
        <v>3</v>
      </c>
      <c r="N3" s="22" t="s">
        <v>3</v>
      </c>
      <c r="P3" s="23" t="s">
        <v>23</v>
      </c>
      <c r="Q3" s="22" t="str">
        <f>P3</f>
        <v>Blé d'automne</v>
      </c>
      <c r="S3" s="23" t="s">
        <v>24</v>
      </c>
      <c r="T3" s="22" t="s">
        <v>24</v>
      </c>
      <c r="V3" s="23" t="s">
        <v>114</v>
      </c>
      <c r="W3" s="22" t="s">
        <v>114</v>
      </c>
      <c r="Y3" s="23" t="s">
        <v>76</v>
      </c>
      <c r="Z3" s="22" t="s">
        <v>76</v>
      </c>
      <c r="AA3" s="37"/>
      <c r="AB3" s="32" t="s">
        <v>0</v>
      </c>
      <c r="AC3" s="22" t="s">
        <v>0</v>
      </c>
      <c r="AE3" s="23" t="s">
        <v>1</v>
      </c>
      <c r="AF3" s="22" t="s">
        <v>1</v>
      </c>
      <c r="AH3" s="23" t="s">
        <v>2</v>
      </c>
      <c r="AI3" s="22" t="s">
        <v>2</v>
      </c>
      <c r="AK3" s="23" t="s">
        <v>3</v>
      </c>
      <c r="AL3" s="22" t="s">
        <v>3</v>
      </c>
      <c r="AN3" s="23" t="s">
        <v>23</v>
      </c>
      <c r="AO3" s="22" t="str">
        <f>AN3</f>
        <v>Blé d'automne</v>
      </c>
      <c r="AQ3" s="23" t="s">
        <v>24</v>
      </c>
      <c r="AR3" s="22" t="s">
        <v>24</v>
      </c>
      <c r="AT3" s="23" t="s">
        <v>114</v>
      </c>
      <c r="AU3" s="22" t="s">
        <v>114</v>
      </c>
      <c r="AW3" s="23" t="s">
        <v>76</v>
      </c>
      <c r="AX3" s="22" t="s">
        <v>76</v>
      </c>
      <c r="AY3" s="37"/>
      <c r="AZ3" s="32" t="s">
        <v>0</v>
      </c>
      <c r="BA3" s="22" t="s">
        <v>0</v>
      </c>
      <c r="BC3" s="23" t="s">
        <v>1</v>
      </c>
      <c r="BD3" s="22" t="s">
        <v>1</v>
      </c>
      <c r="BF3" s="23" t="s">
        <v>2</v>
      </c>
      <c r="BG3" s="22" t="s">
        <v>2</v>
      </c>
      <c r="BI3" s="23" t="s">
        <v>3</v>
      </c>
      <c r="BJ3" s="22" t="s">
        <v>3</v>
      </c>
      <c r="BL3" s="23" t="s">
        <v>23</v>
      </c>
      <c r="BM3" s="22" t="str">
        <f>BL3</f>
        <v>Blé d'automne</v>
      </c>
      <c r="BO3" s="23" t="s">
        <v>24</v>
      </c>
      <c r="BP3" s="22" t="s">
        <v>24</v>
      </c>
      <c r="BR3" s="23" t="s">
        <v>114</v>
      </c>
      <c r="BS3" s="22" t="s">
        <v>114</v>
      </c>
      <c r="BU3" s="23" t="s">
        <v>76</v>
      </c>
      <c r="BV3" s="22" t="s">
        <v>76</v>
      </c>
    </row>
    <row r="4" spans="1:74" x14ac:dyDescent="0.25">
      <c r="A4" s="8" t="s">
        <v>12</v>
      </c>
      <c r="AA4" s="37"/>
      <c r="AB4" s="33"/>
      <c r="AY4" s="37"/>
      <c r="AZ4" s="33"/>
    </row>
    <row r="5" spans="1:74" x14ac:dyDescent="0.25">
      <c r="A5" t="s">
        <v>47</v>
      </c>
      <c r="D5" s="3">
        <f>'Maïs-grain'!E5*(1+Saisies!B39*Saisies!B59)</f>
        <v>3669.45</v>
      </c>
      <c r="E5" s="3">
        <f>IF('Maïs-grain'!G5="",'Intermédiaire_Prod-Résultats'!D5,'Maïs-grain'!G5)*(1+IF(Saisies!C39="",Saisies!B39,Saisies!C39)*IF(Saisies!C59="",Saisies!B59,Saisies!C59))</f>
        <v>3669.45</v>
      </c>
      <c r="G5" s="3">
        <f>Soya!E5*(1+Saisies!B40*Saisies!B59)</f>
        <v>2646.8</v>
      </c>
      <c r="H5" s="3">
        <f>IF(Soya!G5="",'Intermédiaire_Prod-Résultats'!G5,Soya!G5)*(1+IF(Saisies!C40="",Saisies!B40,Saisies!C40)*IF(Saisies!C59="",Saisies!B59,Saisies!C59))</f>
        <v>2646.8</v>
      </c>
      <c r="J5" s="3">
        <f>Orge!E5*(1+Saisies!B41*Saisies!B59)</f>
        <v>1638.5</v>
      </c>
      <c r="K5" s="3">
        <f>IF(Orge!G5="",'Intermédiaire_Prod-Résultats'!J5,Orge!G5)*(1+IF(Saisies!C41="",Saisies!B41,Saisies!C41)*IF(Saisies!C59="",Saisies!B59,Saisies!C59))</f>
        <v>1638.5</v>
      </c>
      <c r="M5" s="3">
        <f>Avoine!E5*(1+Saisies!B42*Saisies!B59)</f>
        <v>957.00000000000011</v>
      </c>
      <c r="N5" s="3">
        <f>IF(Avoine!G5="",'Intermédiaire_Prod-Résultats'!M5,Avoine!G5)*(1+IF(Saisies!C42="",Saisies!B42,Saisies!C42)*IF(Saisies!C59="",Saisies!B59,Saisies!C59))</f>
        <v>957.00000000000011</v>
      </c>
      <c r="P5" s="3">
        <f>'Blé_d''automne'!E5*(1+Saisies!B44*Saisies!B59)</f>
        <v>1823.36</v>
      </c>
      <c r="Q5" s="3">
        <f>IF('Blé_d''automne'!G5="",'Intermédiaire_Prod-Résultats'!P5,'Blé_d''automne'!G5)*(1+IF(Saisies!C44="",Saisies!B44,Saisies!C44)*IF(Saisies!C59="",Saisies!B59,Saisies!C59))</f>
        <v>1823.36</v>
      </c>
      <c r="S5" s="3">
        <f>Blé_printemps!E5*(1+Saisies!B43*Saisies!B59)</f>
        <v>1367.5199999999998</v>
      </c>
      <c r="T5" s="3">
        <f>IF(Blé_printemps!G5="",'Intermédiaire_Prod-Résultats'!S5,Blé_printemps!G5)*(1+IF(Saisies!C43="",Saisies!B43,Saisies!C43)*IF(Saisies!C59="",Saisies!B59,Saisies!C59))</f>
        <v>1367.5199999999998</v>
      </c>
      <c r="V5" s="3">
        <f>Seigle!E5*(1+Saisies!B45*Saisies!B59)</f>
        <v>971.25</v>
      </c>
      <c r="W5" s="3">
        <f>IF(Seigle!G5="",'Intermédiaire_Prod-Résultats'!V5,Seigle!G5)*(1+IF(Saisies!C45="",Saisies!B45,Saisies!C45)*IF(Saisies!C59="",Saisies!B59,Saisies!C59))</f>
        <v>971.25</v>
      </c>
      <c r="Y5" s="3">
        <f>Seigle_hybride!E5*(1+Saisies!B46*Saisies!B59)</f>
        <v>1942.5</v>
      </c>
      <c r="Z5" s="3">
        <f>IF(Seigle_hybride!G5="",'Intermédiaire_Prod-Résultats'!Y5,Seigle_hybride!G5)*(1+IF(Saisies!C46="",Saisies!B46,Saisies!C46)*IF(Saisies!C59="",Saisies!B59,Saisies!C59))</f>
        <v>1942.5</v>
      </c>
      <c r="AA5" s="37"/>
      <c r="AB5" s="34">
        <f>'Maïs-grain'!E5*(1+Saisies!B39*Saisies!B60)</f>
        <v>3669.45</v>
      </c>
      <c r="AC5" s="3">
        <f>IF('Maïs-grain'!G5="",'Intermédiaire_Prod-Résultats'!AB5,'Maïs-grain'!G5)*(1+IF(Saisies!C39="",Saisies!B39,Saisies!C39)*IF(Saisies!C60="",Saisies!B60,Saisies!C60))</f>
        <v>3669.45</v>
      </c>
      <c r="AE5" s="3">
        <f>Soya!E5*(1+Saisies!B40*Saisies!B60)</f>
        <v>2646.8</v>
      </c>
      <c r="AF5" s="3">
        <f>IF(Soya!G5="",'Intermédiaire_Prod-Résultats'!AE5,Soya!G5)*(1+IF(Saisies!C40="",Saisies!B40,Saisies!C40)*IF(Saisies!C60="",Saisies!B60,Saisies!C60))</f>
        <v>2646.8</v>
      </c>
      <c r="AH5" s="3">
        <f>Orge!E5*(1+Saisies!B41*Saisies!B60)</f>
        <v>1638.5</v>
      </c>
      <c r="AI5" s="3">
        <f>IF(Orge!G5="",'Intermédiaire_Prod-Résultats'!AH5,Orge!G5)*(1+IF(Saisies!C41="",Saisies!B41,Saisies!C41)*IF(Saisies!C60="",Saisies!B60,Saisies!C60))</f>
        <v>1638.5</v>
      </c>
      <c r="AK5" s="3">
        <f>Avoine!E5*(1+Saisies!B42*Saisies!B60)</f>
        <v>957.00000000000011</v>
      </c>
      <c r="AL5" s="3">
        <f>IF(Avoine!G5="",'Intermédiaire_Prod-Résultats'!AK5,Avoine!G5)*(1+IF(Saisies!C42="",Saisies!B42,Saisies!C42)*IF(Saisies!C60="",Saisies!B60,Saisies!C60))</f>
        <v>957.00000000000011</v>
      </c>
      <c r="AN5" s="3">
        <f>'Blé_d''automne'!E5*(1+Saisies!B44*Saisies!B60)</f>
        <v>1823.36</v>
      </c>
      <c r="AO5" s="3">
        <f>IF('Blé_d''automne'!G5="",'Intermédiaire_Prod-Résultats'!AN5,'Blé_d''automne'!G5)*(1+IF(Saisies!C44="",Saisies!B44,Saisies!C44)*IF(Saisies!C60="",Saisies!B60,Saisies!C60))</f>
        <v>1823.36</v>
      </c>
      <c r="AQ5" s="3">
        <f>Blé_printemps!E5*(1+Saisies!B43*Saisies!B60)</f>
        <v>1367.5199999999998</v>
      </c>
      <c r="AR5" s="3">
        <f>IF(Blé_printemps!G5="",'Intermédiaire_Prod-Résultats'!AQ5,Blé_printemps!G5)*(1+IF(Saisies!C43="",Saisies!B43,Saisies!C43)*IF(Saisies!C60="",Saisies!B60,Saisies!C60))</f>
        <v>1367.5199999999998</v>
      </c>
      <c r="AT5" s="3">
        <f>Seigle!E5*(1+Saisies!B45*Saisies!B60)</f>
        <v>971.25</v>
      </c>
      <c r="AU5" s="3">
        <f>IF(Seigle!G5="",'Intermédiaire_Prod-Résultats'!AT5,Seigle!G5)*(1+IF(Saisies!C45="",Saisies!B45,Saisies!C45)*IF(Saisies!C60="",Saisies!B60,Saisies!C60))</f>
        <v>971.25</v>
      </c>
      <c r="AW5" s="3">
        <f>Seigle_hybride!E5*(1+Saisies!B46*Saisies!B60)</f>
        <v>1942.5</v>
      </c>
      <c r="AX5" s="3">
        <f>IF(Seigle_hybride!G5="",'Intermédiaire_Prod-Résultats'!AW5,Seigle_hybride!G5)*(1+IF(Saisies!C46="",Saisies!B46,Saisies!C46)*IF(Saisies!C60="",Saisies!B60,Saisies!C60))</f>
        <v>1942.5</v>
      </c>
      <c r="AY5" s="37"/>
      <c r="AZ5" s="34">
        <f>'Maïs-grain'!E5*(1+Saisies!B39*Saisies!B61)</f>
        <v>3669.45</v>
      </c>
      <c r="BA5" s="3">
        <f>IF('Maïs-grain'!G5="",IF(Saisies!C8="",Saisies!B8,Saisies!C8)*IF(Saisies!C21="",Saisies!B21,Saisies!C21),'Maïs-grain'!G5)*(1+IF(Saisies!C39="",Saisies!B39,Saisies!C39)*IF(Saisies!C61="",Saisies!B61,Saisies!C61))</f>
        <v>3669.45</v>
      </c>
      <c r="BC5" s="3">
        <f>Soya!E5*(1+Saisies!B40*Saisies!B61)</f>
        <v>2646.8</v>
      </c>
      <c r="BD5" s="3">
        <f>IF(Soya!G5="",'Intermédiaire_Prod-Résultats'!BC5,Soya!G5)*(1+IF(Saisies!C40="",Saisies!B40,Saisies!C40)*IF(Saisies!C61="",Saisies!B61,Saisies!C61))</f>
        <v>2646.8</v>
      </c>
      <c r="BF5" s="3">
        <f>Orge!E5*(1+Saisies!B41*Saisies!B61)</f>
        <v>1638.5</v>
      </c>
      <c r="BG5" s="3">
        <f>IF(Orge!G5="",'Intermédiaire_Prod-Résultats'!BF5,Orge!G5)*(1+IF(Saisies!C41="",Saisies!B41,Saisies!C41)*IF(Saisies!C61="",Saisies!B61,Saisies!C61))</f>
        <v>1638.5</v>
      </c>
      <c r="BI5" s="3">
        <f>Avoine!E5*(1+Saisies!B42*Saisies!B61)</f>
        <v>957.00000000000011</v>
      </c>
      <c r="BJ5" s="3">
        <f>IF(Avoine!G5="",'Intermédiaire_Prod-Résultats'!BI5,Avoine!G5)*(1+IF(Saisies!C42="",Saisies!B42,Saisies!C42)*IF(Saisies!C61="",Saisies!B61,Saisies!C61))</f>
        <v>957.00000000000011</v>
      </c>
      <c r="BL5" s="3">
        <f>'Blé_d''automne'!E5*(1+Saisies!B44*Saisies!B61)</f>
        <v>1823.36</v>
      </c>
      <c r="BM5" s="3">
        <f>IF('Blé_d''automne'!G5="",'Intermédiaire_Prod-Résultats'!BL5,'Blé_d''automne'!G5)*(1+IF(Saisies!C44="",Saisies!B44,Saisies!C44)*IF(Saisies!C61="",Saisies!B61,Saisies!C61))</f>
        <v>1823.36</v>
      </c>
      <c r="BO5" s="3">
        <f>Blé_printemps!E5*(1+Saisies!B43*Saisies!B61)</f>
        <v>1367.5199999999998</v>
      </c>
      <c r="BP5" s="3">
        <f>IF(Blé_printemps!G5="",'Intermédiaire_Prod-Résultats'!BO5,Blé_printemps!G5)*(1+IF(Saisies!C43="",Saisies!B43,Saisies!C43)*IF(Saisies!C61="",Saisies!B61,Saisies!C61))</f>
        <v>1367.5199999999998</v>
      </c>
      <c r="BR5" s="3">
        <f>Seigle!E5*(1+Saisies!B45*Saisies!B61)</f>
        <v>971.25</v>
      </c>
      <c r="BS5" s="3">
        <f>IF(Seigle!G5="",'Intermédiaire_Prod-Résultats'!BR5,Seigle!G5)*(1+IF(Saisies!C45="",Saisies!B45,Saisies!C45)*IF(Saisies!C61="",Saisies!B61,Saisies!C61))</f>
        <v>971.25</v>
      </c>
      <c r="BU5" s="3">
        <f>Seigle_hybride!E5*(1+Saisies!B46*Saisies!B61)</f>
        <v>1942.5</v>
      </c>
      <c r="BV5" s="3">
        <f>IF(Seigle_hybride!G5="",'Intermédiaire_Prod-Résultats'!BU5,Seigle_hybride!G5)*(1+IF(Saisies!C46="",Saisies!B46,Saisies!C46)*IF(Saisies!C61="",Saisies!B61,Saisies!C61))</f>
        <v>1942.5</v>
      </c>
    </row>
    <row r="6" spans="1:74" x14ac:dyDescent="0.25">
      <c r="A6" t="s">
        <v>11</v>
      </c>
      <c r="D6" s="3">
        <f>'Maïs-grain'!E6</f>
        <v>0</v>
      </c>
      <c r="E6" s="3">
        <f>IF('Maïs-grain'!G6="",'Intermédiaire_Prod-Résultats'!D6,'Maïs-grain'!G6)</f>
        <v>0</v>
      </c>
      <c r="G6" s="3">
        <f>Soya!E6</f>
        <v>0</v>
      </c>
      <c r="H6" s="3">
        <f>IF(Soya!G6="",'Intermédiaire_Prod-Résultats'!G6,Soya!G6)</f>
        <v>0</v>
      </c>
      <c r="J6" s="3">
        <f>Orge!E6</f>
        <v>0</v>
      </c>
      <c r="K6" s="3">
        <f>IF(Orge!G6="",'Intermédiaire_Prod-Résultats'!J6,Orge!G6)</f>
        <v>0</v>
      </c>
      <c r="M6" s="3">
        <f>Avoine!E6</f>
        <v>0</v>
      </c>
      <c r="N6" s="3">
        <f>IF(Avoine!G6="",'Intermédiaire_Prod-Résultats'!M6,Avoine!G6)</f>
        <v>0</v>
      </c>
      <c r="P6" s="3">
        <f>'Blé_d''automne'!E6</f>
        <v>0</v>
      </c>
      <c r="Q6" s="3">
        <f>IF('Blé_d''automne'!G6="",'Intermédiaire_Prod-Résultats'!P6,'Blé_d''automne'!G6)</f>
        <v>0</v>
      </c>
      <c r="S6" s="3">
        <f>Blé_printemps!E6</f>
        <v>0</v>
      </c>
      <c r="T6" s="3">
        <f>IF(Blé_printemps!G6="",'Intermédiaire_Prod-Résultats'!S6,Blé_printemps!G6)</f>
        <v>0</v>
      </c>
      <c r="V6" s="3">
        <f>Seigle!E6</f>
        <v>0</v>
      </c>
      <c r="W6" s="3">
        <f>IF(Seigle!G6="",'Intermédiaire_Prod-Résultats'!V6,Seigle!G6)</f>
        <v>0</v>
      </c>
      <c r="Y6" s="3">
        <f>Seigle_hybride!E6</f>
        <v>0</v>
      </c>
      <c r="Z6" s="3">
        <f>IF(Seigle_hybride!G6="",'Intermédiaire_Prod-Résultats'!Y6,Seigle_hybride!G6)</f>
        <v>0</v>
      </c>
      <c r="AA6" s="37"/>
      <c r="AB6" s="34">
        <f>'Maïs-grain'!E6</f>
        <v>0</v>
      </c>
      <c r="AC6" s="3">
        <f>IF('Maïs-grain'!G6="",'Intermédiaire_Prod-Résultats'!AB6,'Maïs-grain'!G6)</f>
        <v>0</v>
      </c>
      <c r="AE6" s="3">
        <f>Soya!E6</f>
        <v>0</v>
      </c>
      <c r="AF6" s="3">
        <f>IF(Soya!G6="",'Intermédiaire_Prod-Résultats'!AE6,Soya!G6)</f>
        <v>0</v>
      </c>
      <c r="AH6" s="3">
        <f>Orge!E6</f>
        <v>0</v>
      </c>
      <c r="AI6" s="3">
        <f>IF(Orge!G6="",'Intermédiaire_Prod-Résultats'!AH6,Orge!G6)</f>
        <v>0</v>
      </c>
      <c r="AK6" s="3">
        <f>Avoine!E6</f>
        <v>0</v>
      </c>
      <c r="AL6" s="3">
        <f>IF(Avoine!G6="",'Intermédiaire_Prod-Résultats'!AK6,Avoine!G6)</f>
        <v>0</v>
      </c>
      <c r="AN6" s="3">
        <f>'Blé_d''automne'!E6</f>
        <v>0</v>
      </c>
      <c r="AO6" s="3">
        <f>IF('Blé_d''automne'!G6="",'Intermédiaire_Prod-Résultats'!AN6,'Blé_d''automne'!G6)</f>
        <v>0</v>
      </c>
      <c r="AQ6" s="3">
        <f>Blé_printemps!E6</f>
        <v>0</v>
      </c>
      <c r="AR6" s="3">
        <f>IF(Blé_printemps!G6="",'Intermédiaire_Prod-Résultats'!AQ6,Blé_printemps!G6)</f>
        <v>0</v>
      </c>
      <c r="AT6" s="3">
        <f>Seigle!E6</f>
        <v>0</v>
      </c>
      <c r="AU6" s="3">
        <f>IF(Seigle_hybride!G6="",'Intermédiaire_Prod-Résultats'!AT6,Seigle_hybride!G6)</f>
        <v>0</v>
      </c>
      <c r="AW6" s="3">
        <f>Seigle_hybride!E6</f>
        <v>0</v>
      </c>
      <c r="AX6" s="3">
        <f>IF(Seigle_hybride!G6="",'Intermédiaire_Prod-Résultats'!AW6,Seigle_hybride!G6)</f>
        <v>0</v>
      </c>
      <c r="AY6" s="37"/>
      <c r="AZ6" s="34">
        <f>'Maïs-grain'!E6</f>
        <v>0</v>
      </c>
      <c r="BA6" s="3">
        <f>IF('Maïs-grain'!G6="",'Intermédiaire_Prod-Résultats'!AZ6,'Maïs-grain'!G6)</f>
        <v>0</v>
      </c>
      <c r="BC6" s="3">
        <f>Soya!E6</f>
        <v>0</v>
      </c>
      <c r="BD6" s="3">
        <f>IF(Soya!G6="",'Intermédiaire_Prod-Résultats'!BC6,Soya!G6)</f>
        <v>0</v>
      </c>
      <c r="BF6" s="3">
        <f>Orge!E6</f>
        <v>0</v>
      </c>
      <c r="BG6" s="3">
        <f>IF(Orge!G6="",'Intermédiaire_Prod-Résultats'!BF6,Orge!G6)</f>
        <v>0</v>
      </c>
      <c r="BI6" s="3">
        <f>Avoine!E6</f>
        <v>0</v>
      </c>
      <c r="BJ6" s="3">
        <f>IF(Avoine!G6="",'Intermédiaire_Prod-Résultats'!BI6,Avoine!G6)</f>
        <v>0</v>
      </c>
      <c r="BL6" s="3">
        <f>'Blé_d''automne'!E6</f>
        <v>0</v>
      </c>
      <c r="BM6" s="3">
        <f>IF('Blé_d''automne'!G6="",'Intermédiaire_Prod-Résultats'!BL6,'Blé_d''automne'!G6)</f>
        <v>0</v>
      </c>
      <c r="BO6" s="3">
        <f>Blé_printemps!E6</f>
        <v>0</v>
      </c>
      <c r="BP6" s="3">
        <f>IF(Blé_printemps!G6="",'Intermédiaire_Prod-Résultats'!BO6,Blé_printemps!G6)</f>
        <v>0</v>
      </c>
      <c r="BR6" s="3">
        <f>Seigle!E6</f>
        <v>0</v>
      </c>
      <c r="BS6" s="3">
        <f>IF(Seigle!G6="",'Intermédiaire_Prod-Résultats'!BR6,Seigle!G6)</f>
        <v>0</v>
      </c>
      <c r="BU6" s="3">
        <f>Seigle_hybride!E6</f>
        <v>0</v>
      </c>
      <c r="BV6" s="3">
        <f>IF(Seigle_hybride!G6="",'Intermédiaire_Prod-Résultats'!BU6,Seigle_hybride!G6)</f>
        <v>0</v>
      </c>
    </row>
    <row r="7" spans="1:74" x14ac:dyDescent="0.25">
      <c r="A7" t="s">
        <v>17</v>
      </c>
      <c r="D7" s="3">
        <f>'Maïs-grain'!E7</f>
        <v>0</v>
      </c>
      <c r="E7" s="3">
        <f>IF('Maïs-grain'!G7="",'Intermédiaire_Prod-Résultats'!D7,'Maïs-grain'!G7)</f>
        <v>0</v>
      </c>
      <c r="G7" s="3">
        <f>Soya!E7</f>
        <v>0</v>
      </c>
      <c r="H7" s="3">
        <f>IF(Soya!G7="",'Intermédiaire_Prod-Résultats'!G7,Soya!G7)</f>
        <v>0</v>
      </c>
      <c r="J7" s="3">
        <f>Orge!E7</f>
        <v>0</v>
      </c>
      <c r="K7" s="3">
        <f>IF(Orge!G7="",'Intermédiaire_Prod-Résultats'!J7,Orge!G7)</f>
        <v>0</v>
      </c>
      <c r="M7" s="3">
        <f>Avoine!E7</f>
        <v>0</v>
      </c>
      <c r="N7" s="3">
        <f>IF(Avoine!G7="",'Intermédiaire_Prod-Résultats'!M7,Avoine!G7)</f>
        <v>0</v>
      </c>
      <c r="P7" s="3">
        <f>'Blé_d''automne'!E7</f>
        <v>0</v>
      </c>
      <c r="Q7" s="3">
        <f>IF('Blé_d''automne'!G7="",'Intermédiaire_Prod-Résultats'!P7,'Blé_d''automne'!G7)</f>
        <v>0</v>
      </c>
      <c r="S7" s="3">
        <f>Blé_printemps!E7</f>
        <v>0</v>
      </c>
      <c r="T7" s="3">
        <f>IF(Blé_printemps!G7="",'Intermédiaire_Prod-Résultats'!S7,Blé_printemps!G7)</f>
        <v>0</v>
      </c>
      <c r="V7" s="3">
        <f>Seigle!E7</f>
        <v>0</v>
      </c>
      <c r="W7" s="3">
        <f>IF(Seigle!G7="",'Intermédiaire_Prod-Résultats'!V7,Seigle!G7)</f>
        <v>0</v>
      </c>
      <c r="Y7" s="3">
        <f>Seigle_hybride!E7</f>
        <v>0</v>
      </c>
      <c r="Z7" s="3">
        <f>IF(Seigle_hybride!G7="",'Intermédiaire_Prod-Résultats'!Y7,Seigle_hybride!G7)</f>
        <v>0</v>
      </c>
      <c r="AA7" s="37"/>
      <c r="AB7" s="34">
        <f>'Maïs-grain'!E7</f>
        <v>0</v>
      </c>
      <c r="AC7" s="3">
        <f>IF('Maïs-grain'!G7="",'Intermédiaire_Prod-Résultats'!AB7,'Maïs-grain'!G7)</f>
        <v>0</v>
      </c>
      <c r="AE7" s="3">
        <f>Soya!E7</f>
        <v>0</v>
      </c>
      <c r="AF7" s="3">
        <f>IF(Soya!G7="",'Intermédiaire_Prod-Résultats'!AE7,Soya!G7)</f>
        <v>0</v>
      </c>
      <c r="AH7" s="3">
        <f>Orge!E7</f>
        <v>0</v>
      </c>
      <c r="AI7" s="3">
        <f>IF(Orge!G7="",'Intermédiaire_Prod-Résultats'!AH7,Orge!G7)</f>
        <v>0</v>
      </c>
      <c r="AK7" s="3">
        <f>Avoine!E7</f>
        <v>0</v>
      </c>
      <c r="AL7" s="3">
        <f>IF(Avoine!G7="",'Intermédiaire_Prod-Résultats'!AK7,Avoine!G7)</f>
        <v>0</v>
      </c>
      <c r="AN7" s="3">
        <f>'Blé_d''automne'!E7</f>
        <v>0</v>
      </c>
      <c r="AO7" s="3">
        <f>IF('Blé_d''automne'!G7="",'Intermédiaire_Prod-Résultats'!AN7,'Blé_d''automne'!G7)</f>
        <v>0</v>
      </c>
      <c r="AQ7" s="3">
        <f>Blé_printemps!E7</f>
        <v>0</v>
      </c>
      <c r="AR7" s="3">
        <f>IF(Blé_printemps!G7="",'Intermédiaire_Prod-Résultats'!AQ7,Blé_printemps!G7)</f>
        <v>0</v>
      </c>
      <c r="AT7" s="3">
        <f>Seigle!E7</f>
        <v>0</v>
      </c>
      <c r="AU7" s="3">
        <f>IF(Seigle_hybride!G7="",'Intermédiaire_Prod-Résultats'!AT7,Seigle_hybride!G7)</f>
        <v>0</v>
      </c>
      <c r="AW7" s="3">
        <f>Seigle_hybride!E7</f>
        <v>0</v>
      </c>
      <c r="AX7" s="3">
        <f>IF(Seigle_hybride!G7="",'Intermédiaire_Prod-Résultats'!AW7,Seigle_hybride!G7)</f>
        <v>0</v>
      </c>
      <c r="AY7" s="37"/>
      <c r="AZ7" s="34">
        <f>'Maïs-grain'!E7</f>
        <v>0</v>
      </c>
      <c r="BA7" s="3">
        <f>IF('Maïs-grain'!G7="",'Intermédiaire_Prod-Résultats'!AZ7,'Maïs-grain'!G7)</f>
        <v>0</v>
      </c>
      <c r="BC7" s="3">
        <f>Soya!E7</f>
        <v>0</v>
      </c>
      <c r="BD7" s="3">
        <f>IF(Soya!G7="",'Intermédiaire_Prod-Résultats'!BC7,Soya!G7)</f>
        <v>0</v>
      </c>
      <c r="BF7" s="3">
        <f>Orge!E7</f>
        <v>0</v>
      </c>
      <c r="BG7" s="3">
        <f>IF(Orge!G7="",'Intermédiaire_Prod-Résultats'!BF7,Orge!G7)</f>
        <v>0</v>
      </c>
      <c r="BI7" s="3">
        <f>Avoine!E7</f>
        <v>0</v>
      </c>
      <c r="BJ7" s="3">
        <f>IF(Avoine!G7="",'Intermédiaire_Prod-Résultats'!BI7,Avoine!G7)</f>
        <v>0</v>
      </c>
      <c r="BL7" s="3">
        <f>'Blé_d''automne'!E7</f>
        <v>0</v>
      </c>
      <c r="BM7" s="3">
        <f>IF('Blé_d''automne'!G7="",'Intermédiaire_Prod-Résultats'!BL7,'Blé_d''automne'!G7)</f>
        <v>0</v>
      </c>
      <c r="BO7" s="3">
        <f>Blé_printemps!E7</f>
        <v>0</v>
      </c>
      <c r="BP7" s="3">
        <f>IF(Blé_printemps!G7="",'Intermédiaire_Prod-Résultats'!BO7,Blé_printemps!G7)</f>
        <v>0</v>
      </c>
      <c r="BR7" s="3">
        <f>Seigle!E7</f>
        <v>0</v>
      </c>
      <c r="BS7" s="3">
        <f>IF(Seigle!G7="",'Intermédiaire_Prod-Résultats'!BR7,Seigle!G7)</f>
        <v>0</v>
      </c>
      <c r="BU7" s="3">
        <f>Seigle_hybride!E7</f>
        <v>0</v>
      </c>
      <c r="BV7" s="3">
        <f>IF(Seigle_hybride!G7="",'Intermédiaire_Prod-Résultats'!BU7,Seigle_hybride!G7)</f>
        <v>0</v>
      </c>
    </row>
    <row r="8" spans="1:74" x14ac:dyDescent="0.25">
      <c r="A8" s="30" t="s">
        <v>145</v>
      </c>
      <c r="D8" s="3">
        <f>(D5-D15)*0.042</f>
        <v>138.68441999999999</v>
      </c>
      <c r="E8" s="3">
        <f>(E5-E15)*0.042</f>
        <v>138.68441999999999</v>
      </c>
      <c r="G8" s="3">
        <f>(G5-G15)*0.042</f>
        <v>102.17256000000002</v>
      </c>
      <c r="H8" s="3">
        <f>(H5-H15)*0.042</f>
        <v>102.17256000000002</v>
      </c>
      <c r="J8" s="3">
        <f>(J5-J15)*0.01</f>
        <v>13.930099999999999</v>
      </c>
      <c r="K8" s="3">
        <f>(K5-K15)*0.01</f>
        <v>13.930099999999999</v>
      </c>
      <c r="M8" s="3">
        <f>(M5-M15)*0.01</f>
        <v>8.0924000000000014</v>
      </c>
      <c r="N8" s="3">
        <f>(N5-N15)*0.01</f>
        <v>8.0924000000000014</v>
      </c>
      <c r="P8" s="3">
        <f>(P5-P15)*0.01</f>
        <v>16.077209</v>
      </c>
      <c r="Q8" s="3">
        <f>(Q5-Q15)*0.01</f>
        <v>16.077209</v>
      </c>
      <c r="S8" s="3">
        <f>(S5-S15)*0.01</f>
        <v>11.356499999999997</v>
      </c>
      <c r="T8" s="3">
        <f>(T5-T15)*0.01</f>
        <v>11.356499999999997</v>
      </c>
      <c r="V8" s="3">
        <f>(V5-V15)*0.01</f>
        <v>8.3794000000000004</v>
      </c>
      <c r="W8" s="3">
        <f>(W5-W15)*0.01</f>
        <v>8.3794000000000004</v>
      </c>
      <c r="Y8" s="3">
        <f>(Y5-Y15)*0.01</f>
        <v>16.758800000000001</v>
      </c>
      <c r="Z8" s="3">
        <f>(Z5-Z15)*0.01</f>
        <v>16.758800000000001</v>
      </c>
      <c r="AA8" s="37"/>
      <c r="AB8" s="3">
        <f>(AB5-AB15)*0.042</f>
        <v>138.68441999999999</v>
      </c>
      <c r="AC8" s="3">
        <f>(AC5-AC15)*0.042</f>
        <v>138.68441999999999</v>
      </c>
      <c r="AE8" s="3">
        <f>(AE5-AE15)*0.042</f>
        <v>102.17256000000002</v>
      </c>
      <c r="AF8" s="3">
        <f>(AF5-AF15)*0.042</f>
        <v>102.17256000000002</v>
      </c>
      <c r="AH8" s="3">
        <f>(AH5-AH15)*0.01</f>
        <v>13.930099999999999</v>
      </c>
      <c r="AI8" s="3">
        <f>(AI5-AI15)*0.01</f>
        <v>13.930099999999999</v>
      </c>
      <c r="AK8" s="3">
        <f>(AK5-AK15)*0.01</f>
        <v>8.0924000000000014</v>
      </c>
      <c r="AL8" s="3">
        <f>(AL5-AL15)*0.01</f>
        <v>8.0924000000000014</v>
      </c>
      <c r="AN8" s="3">
        <f>(AN5-AN15)*0.01</f>
        <v>16.077209</v>
      </c>
      <c r="AO8" s="3">
        <f>(AO5-AO15)*0.01</f>
        <v>16.077209</v>
      </c>
      <c r="AQ8" s="3">
        <f>(AQ5-AQ15)*0.01</f>
        <v>11.356499999999997</v>
      </c>
      <c r="AR8" s="3">
        <f>(AR5-AR15)*0.01</f>
        <v>11.356499999999997</v>
      </c>
      <c r="AT8" s="3">
        <f>(AT5-AT15)*0.01</f>
        <v>8.3794000000000004</v>
      </c>
      <c r="AU8" s="3">
        <f>(AU5-AU15)*0.01</f>
        <v>8.3794000000000004</v>
      </c>
      <c r="AW8" s="3">
        <f>(AW5-AW15)*0.01</f>
        <v>16.758800000000001</v>
      </c>
      <c r="AX8" s="3">
        <f>(AX5-AX15)*0.01</f>
        <v>16.758800000000001</v>
      </c>
      <c r="AY8" s="37"/>
      <c r="AZ8" s="3">
        <f>(AZ5-AZ15)*0.042</f>
        <v>138.68441999999999</v>
      </c>
      <c r="BA8" s="3">
        <f>(BA5-BA15)*0.042</f>
        <v>138.68441999999999</v>
      </c>
      <c r="BC8" s="3">
        <f>(BC5-BC15)*0.042</f>
        <v>102.17256000000002</v>
      </c>
      <c r="BD8" s="3">
        <f>(BD5-BD15)*0.042</f>
        <v>102.17256000000002</v>
      </c>
      <c r="BF8" s="3">
        <f>(BF5-BF15)*0.01</f>
        <v>13.930099999999999</v>
      </c>
      <c r="BG8" s="3">
        <f>(BG5-BG15)*0.01</f>
        <v>13.930099999999999</v>
      </c>
      <c r="BI8" s="3">
        <f>(BI5-BI15)*0.01</f>
        <v>8.0924000000000014</v>
      </c>
      <c r="BJ8" s="3">
        <f>(BJ5-BJ15)*0.01</f>
        <v>8.0924000000000014</v>
      </c>
      <c r="BL8" s="3">
        <f>(BL5-BL15)*0.01</f>
        <v>16.077209</v>
      </c>
      <c r="BM8" s="3">
        <f>(BM5-BM15)*0.01</f>
        <v>16.077209</v>
      </c>
      <c r="BO8" s="3">
        <f>(BO5-BO15)*0.01</f>
        <v>11.356499999999997</v>
      </c>
      <c r="BP8" s="3">
        <f>(BP5-BP15)*0.01</f>
        <v>11.356499999999997</v>
      </c>
      <c r="BR8" s="3">
        <f>(BR5-BR15)*0.01</f>
        <v>8.3794000000000004</v>
      </c>
      <c r="BS8" s="3">
        <f>(BS5-BS15)*0.01</f>
        <v>8.3794000000000004</v>
      </c>
      <c r="BU8" s="3">
        <f>(BU5-BU15)*0.01</f>
        <v>16.758800000000001</v>
      </c>
      <c r="BV8" s="3">
        <f>(BV5-BV15)*0.01</f>
        <v>16.758800000000001</v>
      </c>
    </row>
    <row r="9" spans="1:74" x14ac:dyDescent="0.25">
      <c r="A9" s="30" t="s">
        <v>18</v>
      </c>
      <c r="D9" s="3">
        <f>'Maïs-grain'!E9</f>
        <v>74.69914</v>
      </c>
      <c r="E9" s="3">
        <f>IF('Maïs-grain'!G9="",'Intermédiaire_Prod-Résultats'!D9,'Maïs-grain'!G9)</f>
        <v>74.69914</v>
      </c>
      <c r="G9" s="3">
        <f>Soya!E9</f>
        <v>61.04743999999998</v>
      </c>
      <c r="H9" s="3">
        <f>IF(Soya!G9="",'Intermédiaire_Prod-Résultats'!G9,Soya!G9)</f>
        <v>61.04743999999998</v>
      </c>
      <c r="J9" s="3">
        <f>Orge!E9</f>
        <v>239.69989999999999</v>
      </c>
      <c r="K9" s="3">
        <f>IF(Orge!G9="",'Intermédiaire_Prod-Résultats'!J9,Orge!G9)</f>
        <v>239.69989999999999</v>
      </c>
      <c r="M9" s="3">
        <f>Avoine!E9</f>
        <v>132.26760000000002</v>
      </c>
      <c r="N9" s="3">
        <f>IF(Avoine!G9="",'Intermédiaire_Prod-Résultats'!M9,Avoine!G9)</f>
        <v>132.26760000000002</v>
      </c>
      <c r="P9" s="3">
        <f>'Blé_d''automne'!E9</f>
        <v>87.702791000000005</v>
      </c>
      <c r="Q9" s="3">
        <f>IF('Blé_d''automne'!G9="",'Intermédiaire_Prod-Résultats'!P9,'Blé_d''automne'!G9)</f>
        <v>87.702791000000005</v>
      </c>
      <c r="S9" s="3">
        <f>Blé_printemps!E9</f>
        <v>92.423500000000004</v>
      </c>
      <c r="T9" s="3">
        <f>IF(Blé_printemps!G9="",'Intermédiaire_Prod-Résultats'!S9,Blé_printemps!G9)</f>
        <v>92.423500000000004</v>
      </c>
      <c r="V9" s="3">
        <f>Seigle!E9</f>
        <v>276.89651999999995</v>
      </c>
      <c r="W9" s="3">
        <f>IF(Seigle!G9="",'Intermédiaire_Prod-Résultats'!V9,Seigle!G9)</f>
        <v>276.89651999999995</v>
      </c>
      <c r="Y9" s="3">
        <f>Seigle_hybride!E9</f>
        <v>241.70303999999999</v>
      </c>
      <c r="Z9" s="3">
        <f>IF(Seigle_hybride!G9="",'Intermédiaire_Prod-Résultats'!Y9,Seigle_hybride!G9)</f>
        <v>241.70303999999999</v>
      </c>
      <c r="AA9" s="37"/>
      <c r="AB9" s="34">
        <f>'Maïs-grain'!E9</f>
        <v>74.69914</v>
      </c>
      <c r="AC9" s="3">
        <f>IF('Maïs-grain'!G9="",'Intermédiaire_Prod-Résultats'!AB9,'Maïs-grain'!G9)</f>
        <v>74.69914</v>
      </c>
      <c r="AE9" s="3">
        <f>Soya!E9</f>
        <v>61.04743999999998</v>
      </c>
      <c r="AF9" s="3">
        <f>IF(Soya!G9="",'Intermédiaire_Prod-Résultats'!AE9,Soya!G9)</f>
        <v>61.04743999999998</v>
      </c>
      <c r="AH9" s="3">
        <f>Orge!E9</f>
        <v>239.69989999999999</v>
      </c>
      <c r="AI9" s="3">
        <f>IF(Orge!G9="",'Intermédiaire_Prod-Résultats'!AH9,Orge!G9)</f>
        <v>239.69989999999999</v>
      </c>
      <c r="AK9" s="3">
        <f>Avoine!E9</f>
        <v>132.26760000000002</v>
      </c>
      <c r="AL9" s="3">
        <f>IF(Avoine!G9="",'Intermédiaire_Prod-Résultats'!AK9,Avoine!G9)</f>
        <v>132.26760000000002</v>
      </c>
      <c r="AN9" s="3">
        <f>'Blé_d''automne'!E9</f>
        <v>87.702791000000005</v>
      </c>
      <c r="AO9" s="3">
        <f>IF('Blé_d''automne'!G9="",'Intermédiaire_Prod-Résultats'!AN9,'Blé_d''automne'!G9)</f>
        <v>87.702791000000005</v>
      </c>
      <c r="AQ9" s="3">
        <f>Blé_printemps!E9</f>
        <v>92.423500000000004</v>
      </c>
      <c r="AR9" s="3">
        <f>IF(Blé_printemps!G9="",'Intermédiaire_Prod-Résultats'!AQ9,Blé_printemps!G9)</f>
        <v>92.423500000000004</v>
      </c>
      <c r="AT9" s="3">
        <f>Seigle!E9</f>
        <v>276.89651999999995</v>
      </c>
      <c r="AU9" s="3">
        <f>IF(Seigle_hybride!G9="",'Intermédiaire_Prod-Résultats'!AT9,Seigle_hybride!G9)</f>
        <v>276.89651999999995</v>
      </c>
      <c r="AW9" s="3">
        <f>Seigle_hybride!E9</f>
        <v>241.70303999999999</v>
      </c>
      <c r="AX9" s="3">
        <f>IF(Seigle_hybride!G9="",'Intermédiaire_Prod-Résultats'!AW9,Seigle_hybride!G9)</f>
        <v>241.70303999999999</v>
      </c>
      <c r="AY9" s="37"/>
      <c r="AZ9" s="34">
        <f>'Maïs-grain'!E9</f>
        <v>74.69914</v>
      </c>
      <c r="BA9" s="3">
        <f>IF('Maïs-grain'!G9="",'Intermédiaire_Prod-Résultats'!AZ9,'Maïs-grain'!G9)</f>
        <v>74.69914</v>
      </c>
      <c r="BC9" s="3">
        <f>Soya!E9</f>
        <v>61.04743999999998</v>
      </c>
      <c r="BD9" s="3">
        <f>IF(Soya!G9="",'Intermédiaire_Prod-Résultats'!BC9,Soya!G9)</f>
        <v>61.04743999999998</v>
      </c>
      <c r="BF9" s="3">
        <f>Orge!E9</f>
        <v>239.69989999999999</v>
      </c>
      <c r="BG9" s="3">
        <f>IF(Orge!G9="",'Intermédiaire_Prod-Résultats'!BF9,Orge!G9)</f>
        <v>239.69989999999999</v>
      </c>
      <c r="BI9" s="3">
        <f>Avoine!E9</f>
        <v>132.26760000000002</v>
      </c>
      <c r="BJ9" s="3">
        <f>IF(Avoine!G9="",'Intermédiaire_Prod-Résultats'!BI9,Avoine!G9)</f>
        <v>132.26760000000002</v>
      </c>
      <c r="BL9" s="3">
        <f>'Blé_d''automne'!E9</f>
        <v>87.702791000000005</v>
      </c>
      <c r="BM9" s="3">
        <f>IF('Blé_d''automne'!G9="",'Intermédiaire_Prod-Résultats'!BL9,'Blé_d''automne'!G9)</f>
        <v>87.702791000000005</v>
      </c>
      <c r="BO9" s="3">
        <f>Blé_printemps!E9</f>
        <v>92.423500000000004</v>
      </c>
      <c r="BP9" s="3">
        <f>IF(Blé_printemps!G9="",'Intermédiaire_Prod-Résultats'!BO9,Blé_printemps!G9)</f>
        <v>92.423500000000004</v>
      </c>
      <c r="BR9" s="3">
        <f>Seigle!E9</f>
        <v>276.89651999999995</v>
      </c>
      <c r="BS9" s="3">
        <f>IF(Seigle!G9="",'Intermédiaire_Prod-Résultats'!BR9,Seigle!G9)</f>
        <v>276.89651999999995</v>
      </c>
      <c r="BU9" s="3">
        <f>Seigle_hybride!E9</f>
        <v>241.70303999999999</v>
      </c>
      <c r="BV9" s="3">
        <f>IF(Seigle_hybride!G9="",'Intermédiaire_Prod-Résultats'!BU9,Seigle_hybride!G9)</f>
        <v>241.70303999999999</v>
      </c>
    </row>
    <row r="10" spans="1:74" x14ac:dyDescent="0.25">
      <c r="D10" s="6">
        <f>SUM(D5:D9)</f>
        <v>3882.83356</v>
      </c>
      <c r="E10" s="6">
        <f>SUM(E5:E9)</f>
        <v>3882.83356</v>
      </c>
      <c r="G10" s="6">
        <f>SUM(G5:G9)</f>
        <v>2810.02</v>
      </c>
      <c r="H10" s="6">
        <f>SUM(H5:H9)</f>
        <v>2810.02</v>
      </c>
      <c r="J10" s="6">
        <f>SUM(J5:J9)</f>
        <v>1892.13</v>
      </c>
      <c r="K10" s="6">
        <f>SUM(K5:K9)</f>
        <v>1892.13</v>
      </c>
      <c r="M10" s="6">
        <f>SUM(M5:M9)</f>
        <v>1097.3600000000001</v>
      </c>
      <c r="N10" s="6">
        <f>SUM(N5:N9)</f>
        <v>1097.3600000000001</v>
      </c>
      <c r="P10" s="6">
        <f>SUM(P5:P9)</f>
        <v>1927.1399999999999</v>
      </c>
      <c r="Q10" s="6">
        <f>SUM(Q5:Q9)</f>
        <v>1927.1399999999999</v>
      </c>
      <c r="S10" s="6">
        <f>SUM(S5:S9)</f>
        <v>1471.3</v>
      </c>
      <c r="T10" s="6">
        <f>SUM(T5:T9)</f>
        <v>1471.3</v>
      </c>
      <c r="V10" s="6">
        <f>SUM(V5:V9)</f>
        <v>1256.52592</v>
      </c>
      <c r="W10" s="6">
        <f>SUM(W5:W9)</f>
        <v>1256.52592</v>
      </c>
      <c r="Y10" s="6">
        <f>SUM(Y5:Y9)</f>
        <v>2200.9618399999999</v>
      </c>
      <c r="Z10" s="6">
        <f>SUM(Z5:Z9)</f>
        <v>2200.9618399999999</v>
      </c>
      <c r="AA10" s="37"/>
      <c r="AB10" s="6">
        <f>SUM(AB5:AB9)</f>
        <v>3882.83356</v>
      </c>
      <c r="AC10" s="6">
        <f>SUM(AC5:AC9)</f>
        <v>3882.83356</v>
      </c>
      <c r="AE10" s="6">
        <f>SUM(AE5:AE9)</f>
        <v>2810.02</v>
      </c>
      <c r="AF10" s="6">
        <f>SUM(AF5:AF9)</f>
        <v>2810.02</v>
      </c>
      <c r="AH10" s="6">
        <f>SUM(AH5:AH9)</f>
        <v>1892.13</v>
      </c>
      <c r="AI10" s="6">
        <f>SUM(AI5:AI9)</f>
        <v>1892.13</v>
      </c>
      <c r="AK10" s="6">
        <f>SUM(AK5:AK9)</f>
        <v>1097.3600000000001</v>
      </c>
      <c r="AL10" s="6">
        <f>SUM(AL5:AL9)</f>
        <v>1097.3600000000001</v>
      </c>
      <c r="AN10" s="6">
        <f>SUM(AN5:AN9)</f>
        <v>1927.1399999999999</v>
      </c>
      <c r="AO10" s="6">
        <f>SUM(AO5:AO9)</f>
        <v>1927.1399999999999</v>
      </c>
      <c r="AQ10" s="6">
        <f>SUM(AQ5:AQ9)</f>
        <v>1471.3</v>
      </c>
      <c r="AR10" s="6">
        <f>SUM(AR5:AR9)</f>
        <v>1471.3</v>
      </c>
      <c r="AT10" s="6">
        <f>SUM(AT5:AT9)</f>
        <v>1256.52592</v>
      </c>
      <c r="AU10" s="6">
        <f>SUM(AU5:AU9)</f>
        <v>1256.52592</v>
      </c>
      <c r="AW10" s="6">
        <f>SUM(AW5:AW9)</f>
        <v>2200.9618399999999</v>
      </c>
      <c r="AX10" s="6">
        <f>SUM(AX5:AX9)</f>
        <v>2200.9618399999999</v>
      </c>
      <c r="AY10" s="37"/>
      <c r="AZ10" s="6">
        <f>SUM(AZ5:AZ9)</f>
        <v>3882.83356</v>
      </c>
      <c r="BA10" s="6">
        <f>SUM(BA5:BA9)</f>
        <v>3882.83356</v>
      </c>
      <c r="BC10" s="6">
        <f>SUM(BC5:BC9)</f>
        <v>2810.02</v>
      </c>
      <c r="BD10" s="6">
        <f>SUM(BD5:BD9)</f>
        <v>2810.02</v>
      </c>
      <c r="BF10" s="6">
        <f>SUM(BF5:BF9)</f>
        <v>1892.13</v>
      </c>
      <c r="BG10" s="6">
        <f>SUM(BG5:BG9)</f>
        <v>1892.13</v>
      </c>
      <c r="BI10" s="6">
        <f>SUM(BI5:BI9)</f>
        <v>1097.3600000000001</v>
      </c>
      <c r="BJ10" s="6">
        <f>SUM(BJ5:BJ9)</f>
        <v>1097.3600000000001</v>
      </c>
      <c r="BL10" s="6">
        <f>SUM(BL5:BL9)</f>
        <v>1927.1399999999999</v>
      </c>
      <c r="BM10" s="6">
        <f>SUM(BM5:BM9)</f>
        <v>1927.1399999999999</v>
      </c>
      <c r="BO10" s="6">
        <f>SUM(BO5:BO9)</f>
        <v>1471.3</v>
      </c>
      <c r="BP10" s="6">
        <f>SUM(BP5:BP9)</f>
        <v>1471.3</v>
      </c>
      <c r="BR10" s="6">
        <f>SUM(BR5:BR9)</f>
        <v>1256.52592</v>
      </c>
      <c r="BS10" s="6">
        <f>SUM(BS5:BS9)</f>
        <v>1256.52592</v>
      </c>
      <c r="BU10" s="6">
        <f>SUM(BU5:BU9)</f>
        <v>2200.9618399999999</v>
      </c>
      <c r="BV10" s="6">
        <f>SUM(BV5:BV9)</f>
        <v>2200.9618399999999</v>
      </c>
    </row>
    <row r="11" spans="1:74" x14ac:dyDescent="0.25">
      <c r="A11" s="1" t="s">
        <v>13</v>
      </c>
      <c r="D11" s="3"/>
      <c r="E11" s="3"/>
      <c r="G11" s="3"/>
      <c r="H11" s="3"/>
      <c r="J11" s="3"/>
      <c r="K11" s="3"/>
      <c r="M11" s="3"/>
      <c r="N11" s="3"/>
      <c r="P11" s="3"/>
      <c r="Q11" s="3"/>
      <c r="S11" s="3"/>
      <c r="T11" s="3"/>
      <c r="V11" s="3"/>
      <c r="W11" s="3"/>
      <c r="Y11" s="3"/>
      <c r="Z11" s="3"/>
      <c r="AA11" s="37"/>
      <c r="AB11" s="34"/>
      <c r="AC11" s="3"/>
      <c r="AE11" s="3"/>
      <c r="AF11" s="3"/>
      <c r="AH11" s="3"/>
      <c r="AI11" s="3"/>
      <c r="AK11" s="3"/>
      <c r="AL11" s="3"/>
      <c r="AN11" s="3"/>
      <c r="AO11" s="3"/>
      <c r="AQ11" s="3"/>
      <c r="AR11" s="3"/>
      <c r="AT11" s="3"/>
      <c r="AU11" s="3"/>
      <c r="AW11" s="3"/>
      <c r="AX11" s="3"/>
      <c r="AY11" s="37"/>
      <c r="AZ11" s="34"/>
      <c r="BA11" s="3"/>
      <c r="BC11" s="3"/>
      <c r="BD11" s="3"/>
      <c r="BF11" s="3"/>
      <c r="BG11" s="3"/>
      <c r="BI11" s="3"/>
      <c r="BJ11" s="3"/>
      <c r="BL11" s="3"/>
      <c r="BM11" s="3"/>
      <c r="BO11" s="3"/>
      <c r="BP11" s="3"/>
      <c r="BR11" s="3"/>
      <c r="BS11" s="3"/>
      <c r="BU11" s="3"/>
      <c r="BV11" s="3"/>
    </row>
    <row r="12" spans="1:74" x14ac:dyDescent="0.25">
      <c r="D12" s="3"/>
      <c r="E12" s="3"/>
      <c r="G12" s="3"/>
      <c r="H12" s="3"/>
      <c r="J12" s="3"/>
      <c r="K12" s="3"/>
      <c r="M12" s="3"/>
      <c r="N12" s="3"/>
      <c r="P12" s="3"/>
      <c r="Q12" s="3"/>
      <c r="S12" s="3"/>
      <c r="T12" s="3"/>
      <c r="V12" s="3"/>
      <c r="W12" s="3"/>
      <c r="Y12" s="3"/>
      <c r="Z12" s="3"/>
      <c r="AA12" s="37"/>
      <c r="AB12" s="34"/>
      <c r="AC12" s="3"/>
      <c r="AE12" s="3"/>
      <c r="AF12" s="3"/>
      <c r="AH12" s="3"/>
      <c r="AI12" s="3"/>
      <c r="AK12" s="3"/>
      <c r="AL12" s="3"/>
      <c r="AN12" s="3"/>
      <c r="AO12" s="3"/>
      <c r="AQ12" s="3"/>
      <c r="AR12" s="3"/>
      <c r="AT12" s="3"/>
      <c r="AU12" s="3"/>
      <c r="AW12" s="3"/>
      <c r="AX12" s="3"/>
      <c r="AY12" s="37"/>
      <c r="AZ12" s="34"/>
      <c r="BA12" s="3"/>
      <c r="BC12" s="3"/>
      <c r="BD12" s="3"/>
      <c r="BF12" s="3"/>
      <c r="BG12" s="3"/>
      <c r="BI12" s="3"/>
      <c r="BJ12" s="3"/>
      <c r="BL12" s="3"/>
      <c r="BM12" s="3"/>
      <c r="BO12" s="3"/>
      <c r="BP12" s="3"/>
      <c r="BR12" s="3"/>
      <c r="BS12" s="3"/>
      <c r="BU12" s="3"/>
      <c r="BV12" s="3"/>
    </row>
    <row r="13" spans="1:74" x14ac:dyDescent="0.25">
      <c r="D13" s="3"/>
      <c r="E13" s="3"/>
      <c r="G13" s="3"/>
      <c r="H13" s="3"/>
      <c r="J13" s="3"/>
      <c r="K13" s="3"/>
      <c r="M13" s="3"/>
      <c r="N13" s="3"/>
      <c r="P13" s="3"/>
      <c r="Q13" s="3"/>
      <c r="S13" s="3"/>
      <c r="T13" s="3"/>
      <c r="V13" s="3"/>
      <c r="W13" s="3"/>
      <c r="Y13" s="3"/>
      <c r="Z13" s="3"/>
      <c r="AA13" s="37"/>
      <c r="AB13" s="34"/>
      <c r="AC13" s="3"/>
      <c r="AE13" s="3"/>
      <c r="AF13" s="3"/>
      <c r="AH13" s="3"/>
      <c r="AI13" s="3"/>
      <c r="AK13" s="3"/>
      <c r="AL13" s="3"/>
      <c r="AN13" s="3"/>
      <c r="AO13" s="3"/>
      <c r="AQ13" s="3"/>
      <c r="AR13" s="3"/>
      <c r="AT13" s="3"/>
      <c r="AU13" s="3"/>
      <c r="AW13" s="3"/>
      <c r="AX13" s="3"/>
      <c r="AY13" s="37"/>
      <c r="AZ13" s="34"/>
      <c r="BA13" s="3"/>
      <c r="BC13" s="3"/>
      <c r="BD13" s="3"/>
      <c r="BF13" s="3"/>
      <c r="BG13" s="3"/>
      <c r="BI13" s="3"/>
      <c r="BJ13" s="3"/>
      <c r="BL13" s="3"/>
      <c r="BM13" s="3"/>
      <c r="BO13" s="3"/>
      <c r="BP13" s="3"/>
      <c r="BR13" s="3"/>
      <c r="BS13" s="3"/>
      <c r="BU13" s="3"/>
      <c r="BV13" s="3"/>
    </row>
    <row r="14" spans="1:74" x14ac:dyDescent="0.25">
      <c r="A14" s="8" t="s">
        <v>140</v>
      </c>
      <c r="Z14" s="45"/>
      <c r="AA14" s="37"/>
      <c r="AB14" s="33"/>
      <c r="AX14" s="45"/>
      <c r="AY14" s="37"/>
      <c r="AZ14" s="33"/>
    </row>
    <row r="15" spans="1:74" x14ac:dyDescent="0.25">
      <c r="A15" t="s">
        <v>78</v>
      </c>
      <c r="D15" s="3">
        <f>'Maïs-grain'!E16+IF(Saisies!B34="Oui",'Cultures de couverture'!E8,0)</f>
        <v>367.44</v>
      </c>
      <c r="E15" s="3">
        <f>IF('Maïs-grain'!G16="",'Intermédiaire_Prod-Résultats'!D15,'Maïs-grain'!G16+IF(Saisies!B34="Oui",'Cultures de couverture'!E8,0))</f>
        <v>367.44</v>
      </c>
      <c r="G15" s="3">
        <f>Soya!E16</f>
        <v>214.12</v>
      </c>
      <c r="H15" s="3">
        <f>IF(Soya!G16="",'Intermédiaire_Prod-Résultats'!G15,Soya!G16)</f>
        <v>214.12</v>
      </c>
      <c r="J15" s="3">
        <f>Orge!E16</f>
        <v>245.49</v>
      </c>
      <c r="K15" s="3">
        <f>IF(Orge!G16="",'Intermédiaire_Prod-Résultats'!J15,Orge!G16)</f>
        <v>245.49</v>
      </c>
      <c r="M15" s="3">
        <f>Avoine!E16</f>
        <v>147.76</v>
      </c>
      <c r="N15" s="3">
        <f>IF(Avoine!G16="",'Intermédiaire_Prod-Résultats'!M15,Avoine!G16)</f>
        <v>147.76</v>
      </c>
      <c r="P15" s="3">
        <f>'Blé_d''automne'!E16</f>
        <v>215.63909999999998</v>
      </c>
      <c r="Q15" s="3">
        <f>IF('Blé_d''automne'!G16="",'Intermédiaire_Prod-Résultats'!P15,'Blé_d''automne'!G16)</f>
        <v>215.63909999999998</v>
      </c>
      <c r="S15" s="3">
        <f>Blé_printemps!E16</f>
        <v>231.87</v>
      </c>
      <c r="T15" s="3">
        <f>IF(Blé_printemps!G16="",'Intermédiaire_Prod-Résultats'!S15,Blé_printemps!G16)</f>
        <v>231.87</v>
      </c>
      <c r="V15" s="3">
        <f>Seigle!E16</f>
        <v>133.31</v>
      </c>
      <c r="W15" s="3">
        <f>IF(Seigle!G16="",'Intermédiaire_Prod-Résultats'!V15,Seigle!G16)</f>
        <v>133.31</v>
      </c>
      <c r="Y15" s="3">
        <f>Seigle_hybride!E16</f>
        <v>266.62</v>
      </c>
      <c r="Z15" s="3">
        <f>IF(Seigle_hybride!G16="",'Intermédiaire_Prod-Résultats'!Y15,Seigle_hybride!G16)</f>
        <v>266.62</v>
      </c>
      <c r="AA15" s="37"/>
      <c r="AB15" s="34">
        <f>'Maïs-grain'!E16+IF(Saisies!B34="Oui",'Cultures de couverture'!E8,0)</f>
        <v>367.44</v>
      </c>
      <c r="AC15" s="3">
        <f>IF('Maïs-grain'!G16="",'Intermédiaire_Prod-Résultats'!AB15,'Maïs-grain'!G16+IF(Saisies!B34="Oui",'Cultures de couverture'!E8,0))</f>
        <v>367.44</v>
      </c>
      <c r="AE15" s="3">
        <f>Soya!E16</f>
        <v>214.12</v>
      </c>
      <c r="AF15" s="3">
        <f>IF(Soya!G16="",'Intermédiaire_Prod-Résultats'!AE15,Soya!G16)</f>
        <v>214.12</v>
      </c>
      <c r="AH15" s="3">
        <f>Orge!E16</f>
        <v>245.49</v>
      </c>
      <c r="AI15" s="3">
        <f>IF(Orge!G16="",'Intermédiaire_Prod-Résultats'!AH15,Orge!G16)</f>
        <v>245.49</v>
      </c>
      <c r="AK15" s="3">
        <f>Avoine!E16</f>
        <v>147.76</v>
      </c>
      <c r="AL15" s="3">
        <f>IF(Avoine!G16="",'Intermédiaire_Prod-Résultats'!AK15,Avoine!G16)</f>
        <v>147.76</v>
      </c>
      <c r="AN15" s="3">
        <f>'Blé_d''automne'!E16</f>
        <v>215.63909999999998</v>
      </c>
      <c r="AO15" s="3">
        <f>IF('Blé_d''automne'!G16="",'Intermédiaire_Prod-Résultats'!AN15,'Blé_d''automne'!G16)</f>
        <v>215.63909999999998</v>
      </c>
      <c r="AQ15" s="3">
        <f>Blé_printemps!E16</f>
        <v>231.87</v>
      </c>
      <c r="AR15" s="3">
        <f>IF(Blé_printemps!G16="",'Intermédiaire_Prod-Résultats'!AQ15,Blé_printemps!G16)</f>
        <v>231.87</v>
      </c>
      <c r="AT15" s="3">
        <f>Seigle!E16</f>
        <v>133.31</v>
      </c>
      <c r="AU15" s="3">
        <f>IF(Seigle!G16="",'Intermédiaire_Prod-Résultats'!AT15,Seigle!G16)</f>
        <v>133.31</v>
      </c>
      <c r="AW15" s="3">
        <f>Seigle_hybride!E16</f>
        <v>266.62</v>
      </c>
      <c r="AX15" s="3">
        <f>IF(Seigle_hybride!G16="",'Intermédiaire_Prod-Résultats'!AW15,Seigle_hybride!G16)</f>
        <v>266.62</v>
      </c>
      <c r="AY15" s="37"/>
      <c r="AZ15" s="34">
        <f>'Maïs-grain'!E16+IF(Saisies!B34="Oui",'Cultures de couverture'!E8,0)</f>
        <v>367.44</v>
      </c>
      <c r="BA15" s="3">
        <f>IF('Maïs-grain'!G16="",'Intermédiaire_Prod-Résultats'!AZ15,'Maïs-grain'!G16+IF(Saisies!B34="Oui",'Cultures de couverture'!E8,0))</f>
        <v>367.44</v>
      </c>
      <c r="BC15" s="3">
        <f>Soya!E16</f>
        <v>214.12</v>
      </c>
      <c r="BD15" s="3">
        <f>IF(Soya!G16="",'Intermédiaire_Prod-Résultats'!BC15,Soya!G16)</f>
        <v>214.12</v>
      </c>
      <c r="BF15" s="3">
        <f>Orge!E16</f>
        <v>245.49</v>
      </c>
      <c r="BG15" s="3">
        <f>IF(Orge!G16="",'Intermédiaire_Prod-Résultats'!BF15,Orge!G16)</f>
        <v>245.49</v>
      </c>
      <c r="BI15" s="3">
        <f>Avoine!E16</f>
        <v>147.76</v>
      </c>
      <c r="BJ15" s="3">
        <f>IF(Avoine!G16="",'Intermédiaire_Prod-Résultats'!BI15,Avoine!G16)</f>
        <v>147.76</v>
      </c>
      <c r="BL15" s="3">
        <f>'Blé_d''automne'!E16</f>
        <v>215.63909999999998</v>
      </c>
      <c r="BM15" s="3">
        <f>IF('Blé_d''automne'!G16="",'Intermédiaire_Prod-Résultats'!BL15,'Blé_d''automne'!G16)</f>
        <v>215.63909999999998</v>
      </c>
      <c r="BO15" s="3">
        <f>Blé_printemps!E16</f>
        <v>231.87</v>
      </c>
      <c r="BP15" s="3">
        <f>IF(Blé_printemps!G16="",'Intermédiaire_Prod-Résultats'!BO15,Blé_printemps!G16)</f>
        <v>231.87</v>
      </c>
      <c r="BR15" s="3">
        <f>Seigle!E16</f>
        <v>133.31</v>
      </c>
      <c r="BS15" s="3">
        <f>IF(Seigle!G16="",'Intermédiaire_Prod-Résultats'!BR15,Seigle!G16)</f>
        <v>133.31</v>
      </c>
      <c r="BU15" s="3">
        <f>Seigle_hybride!E16</f>
        <v>266.62</v>
      </c>
      <c r="BV15" s="3">
        <f>IF(Seigle_hybride!G16="",'Intermédiaire_Prod-Résultats'!BU15,Seigle_hybride!G16)</f>
        <v>266.62</v>
      </c>
    </row>
    <row r="16" spans="1:74" x14ac:dyDescent="0.25">
      <c r="A16" t="s">
        <v>136</v>
      </c>
      <c r="D16" s="3">
        <f>'Maïs-grain'!E17-IF(Saisies!B34="Oui",Saisies!B50*Saisies!B51*Saisies!B59,0)</f>
        <v>183.37</v>
      </c>
      <c r="E16" s="3">
        <f>IF('Maïs-grain'!G17="",'Maïs-grain'!E17,'Maïs-grain'!G17)-IF(Saisies!B34="Oui",IF(Saisies!C50="",Saisies!B50,Saisies!C50)*IF(Saisies!C51="",Saisies!B51,Saisies!C51)*IF(Saisies!C59="",Saisies!B59,Saisies!C59),0)</f>
        <v>183.37</v>
      </c>
      <c r="G16" s="3">
        <f>Soya!E17</f>
        <v>13.04</v>
      </c>
      <c r="H16" s="3">
        <f>IF(Soya!G17="",'Intermédiaire_Prod-Résultats'!G16,Soya!G17)</f>
        <v>13.04</v>
      </c>
      <c r="J16" s="3">
        <f>Orge!E17</f>
        <v>64.91</v>
      </c>
      <c r="K16" s="3">
        <f>IF(Orge!G17="",'Intermédiaire_Prod-Résultats'!J16,Orge!G17)</f>
        <v>64.91</v>
      </c>
      <c r="M16" s="3">
        <f>Avoine!E17</f>
        <v>64.569999999999993</v>
      </c>
      <c r="N16" s="3">
        <f>IF(Avoine!G17="",'Intermédiaire_Prod-Résultats'!M16,Avoine!G17)</f>
        <v>64.569999999999993</v>
      </c>
      <c r="P16" s="3">
        <f>'Blé_d''automne'!E17</f>
        <v>86.56</v>
      </c>
      <c r="Q16" s="3">
        <f>IF('Blé_d''automne'!G17="",'Intermédiaire_Prod-Résultats'!P16,'Blé_d''automne'!G17)</f>
        <v>86.56</v>
      </c>
      <c r="S16" s="3">
        <f>Blé_printemps!E17</f>
        <v>86.56</v>
      </c>
      <c r="T16" s="3">
        <f>IF(Blé_printemps!G17="",'Intermédiaire_Prod-Résultats'!S16,Blé_printemps!G17)</f>
        <v>86.56</v>
      </c>
      <c r="V16" s="3">
        <f>Seigle!E17</f>
        <v>60.05</v>
      </c>
      <c r="W16" s="3">
        <f>IF(Seigle!G17="",'Intermédiaire_Prod-Résultats'!V16,Seigle!G17)</f>
        <v>60.05</v>
      </c>
      <c r="Y16" s="3">
        <f>Seigle_hybride!E17</f>
        <v>60.05</v>
      </c>
      <c r="Z16" s="3">
        <f>IF(Seigle_hybride!G17="",'Intermédiaire_Prod-Résultats'!Y16,Seigle_hybride!G17)</f>
        <v>60.05</v>
      </c>
      <c r="AA16" s="37"/>
      <c r="AB16" s="34">
        <f>'Maïs-grain'!E17-IF(Saisies!B34="Oui",Saisies!B51*Saisies!B50*Saisies!B60,0)</f>
        <v>148.37</v>
      </c>
      <c r="AC16" s="3">
        <f>IF('Maïs-grain'!G17="",'Maïs-grain'!E17,'Maïs-grain'!G17)-IF(Saisies!B34="Oui",IF(Saisies!C50="",Saisies!B50,Saisies!C50)*IF(Saisies!C51="",Saisies!B51,Saisies!C51)*IF(Saisies!C60="",Saisies!B60,Saisies!C60),0)</f>
        <v>148.37</v>
      </c>
      <c r="AE16" s="3">
        <f>Soya!E17</f>
        <v>13.04</v>
      </c>
      <c r="AF16" s="3">
        <f>IF(Soya!G17="",'Intermédiaire_Prod-Résultats'!AE16,Soya!G17)</f>
        <v>13.04</v>
      </c>
      <c r="AH16" s="3">
        <f>Orge!E17</f>
        <v>64.91</v>
      </c>
      <c r="AI16" s="3">
        <f>IF(Orge!G17="",'Intermédiaire_Prod-Résultats'!AH16,Orge!G17)</f>
        <v>64.91</v>
      </c>
      <c r="AK16" s="3">
        <f>Avoine!E17</f>
        <v>64.569999999999993</v>
      </c>
      <c r="AL16" s="3">
        <f>IF(Avoine!G17="",'Intermédiaire_Prod-Résultats'!AK16,Avoine!G17)</f>
        <v>64.569999999999993</v>
      </c>
      <c r="AN16" s="3">
        <f>'Blé_d''automne'!E17</f>
        <v>86.56</v>
      </c>
      <c r="AO16" s="3">
        <f>IF('Blé_d''automne'!G17="",'Intermédiaire_Prod-Résultats'!AN16,'Blé_d''automne'!G17)</f>
        <v>86.56</v>
      </c>
      <c r="AQ16" s="3">
        <f>Blé_printemps!E17</f>
        <v>86.56</v>
      </c>
      <c r="AR16" s="3">
        <f>IF(Blé_printemps!G17="",'Intermédiaire_Prod-Résultats'!AQ16,Blé_printemps!G17)</f>
        <v>86.56</v>
      </c>
      <c r="AT16" s="3">
        <f>Seigle!E17</f>
        <v>60.05</v>
      </c>
      <c r="AU16" s="3">
        <f>IF(Seigle!G17="",'Intermédiaire_Prod-Résultats'!AT16,Seigle!G17)</f>
        <v>60.05</v>
      </c>
      <c r="AW16" s="3">
        <f>Seigle_hybride!E17</f>
        <v>60.05</v>
      </c>
      <c r="AX16" s="3">
        <f>IF(Seigle_hybride!G17="",'Intermédiaire_Prod-Résultats'!AW16,Seigle_hybride!G17)</f>
        <v>60.05</v>
      </c>
      <c r="AY16" s="37"/>
      <c r="AZ16" s="34">
        <f>'Maïs-grain'!E17-IF(Saisies!B34="Oui",Saisies!B50*Saisies!B51*Saisies!B61)</f>
        <v>113.37</v>
      </c>
      <c r="BA16" s="3">
        <f>IF('Maïs-grain'!G17="",'Maïs-grain'!E17,'Maïs-grain'!G17)-IF(Saisies!B34="Oui",IF(Saisies!C50="",Saisies!B50,Saisies!C50)*IF(Saisies!C51="",Saisies!B51,Saisies!C51)*IF(Saisies!C61="",Saisies!B61,Saisies!C61),0)</f>
        <v>113.37</v>
      </c>
      <c r="BC16" s="3">
        <f>Soya!E17</f>
        <v>13.04</v>
      </c>
      <c r="BD16" s="3">
        <f>IF(Soya!G17="",'Intermédiaire_Prod-Résultats'!BC16,Soya!G17)</f>
        <v>13.04</v>
      </c>
      <c r="BF16" s="3">
        <f>Orge!E17</f>
        <v>64.91</v>
      </c>
      <c r="BG16" s="3">
        <f>IF(Orge!G17="",'Intermédiaire_Prod-Résultats'!BF16,Orge!G17)</f>
        <v>64.91</v>
      </c>
      <c r="BI16" s="3">
        <f>Avoine!E17</f>
        <v>64.569999999999993</v>
      </c>
      <c r="BJ16" s="3">
        <f>IF(Avoine!G17="",'Intermédiaire_Prod-Résultats'!BI16,Avoine!G17)</f>
        <v>64.569999999999993</v>
      </c>
      <c r="BL16" s="3">
        <f>'Blé_d''automne'!E17</f>
        <v>86.56</v>
      </c>
      <c r="BM16" s="3">
        <f>IF('Blé_d''automne'!G17="",'Intermédiaire_Prod-Résultats'!BL16,'Blé_d''automne'!G17)</f>
        <v>86.56</v>
      </c>
      <c r="BO16" s="3">
        <f>Blé_printemps!E17</f>
        <v>86.56</v>
      </c>
      <c r="BP16" s="3">
        <f>IF(Blé_printemps!G17="",'Intermédiaire_Prod-Résultats'!BO16,Blé_printemps!G17)</f>
        <v>86.56</v>
      </c>
      <c r="BR16" s="3">
        <f>Seigle!E17</f>
        <v>60.05</v>
      </c>
      <c r="BS16" s="3">
        <f>IF(Seigle!G17="",'Intermédiaire_Prod-Résultats'!BR16,Seigle!G17)</f>
        <v>60.05</v>
      </c>
      <c r="BU16" s="3">
        <f>Seigle_hybride!E17</f>
        <v>60.05</v>
      </c>
      <c r="BV16" s="3">
        <f>IF(Seigle_hybride!G17="",'Intermédiaire_Prod-Résultats'!BU16,Seigle_hybride!G17)</f>
        <v>60.05</v>
      </c>
    </row>
    <row r="17" spans="1:74" x14ac:dyDescent="0.25">
      <c r="A17" t="s">
        <v>14</v>
      </c>
      <c r="D17" s="3">
        <f>'Maïs-grain'!D18*Saisies!B8*(1+Saisies!B39*Saisies!B59)</f>
        <v>32.39</v>
      </c>
      <c r="E17" s="3">
        <f>IF('Maïs-grain'!G18="",'Maïs-grain'!D18*IF(Saisies!C8="",Saisies!B8,Saisies!C8),'Maïs-grain'!G18)*(1+IF(Saisies!C39="",Saisies!B39,Saisies!C39)*IF(Saisies!C59="",Saisies!B59,Saisies!C59))</f>
        <v>32.39</v>
      </c>
      <c r="G17" s="3">
        <f>Soya!D18*Saisies!B9*(1+Saisies!B40*Saisies!B59)</f>
        <v>25.54</v>
      </c>
      <c r="H17" s="3">
        <f>IF(Soya!G18="",Soya!D18*IF(Saisies!C9="",Saisies!B9,Saisies!C9),Soya!G18)*(1+IF(Saisies!C40="",Saisies!B40,Saisies!C40)*IF(Saisies!C59="",Saisies!B59,Saisies!C59))</f>
        <v>25.54</v>
      </c>
      <c r="J17" s="3">
        <f>Orge!D18*Saisies!B10*(1+Saisies!B41*Saisies!B59)</f>
        <v>14.87</v>
      </c>
      <c r="K17" s="3">
        <f>IF(Orge!G18="",Orge!D18*IF(Saisies!C10="",Saisies!B10,Saisies!C10),Orge!G18)*(1+IF(Saisies!C41="",Saisies!B41,Saisies!C41)*IF(Saisies!C59="",Saisies!B59,Saisies!C59))</f>
        <v>14.87</v>
      </c>
      <c r="M17" s="3">
        <f>Avoine!D18*Saisies!B11*(1+Saisies!B42*Saisies!B59)</f>
        <v>44.99</v>
      </c>
      <c r="N17" s="3">
        <f>IF(Avoine!G18="",Avoine!D18*IF(Saisies!C11="",Saisies!B11,Saisies!C11),Avoine!G18)*(1+IF(Saisies!C42="",Saisies!B42,Saisies!C42)*IF(Saisies!C59="",Saisies!B59,Saisies!C59))</f>
        <v>44.99</v>
      </c>
      <c r="P17" s="3">
        <f>'Blé_d''automne'!D18*Saisies!B13*(1+Saisies!B44*Saisies!B59)</f>
        <v>23.28</v>
      </c>
      <c r="Q17" s="3">
        <f>IF('Blé_d''automne'!G18="",'Blé_d''automne'!D18*IF(Saisies!C13="",Saisies!B13,Saisies!C13),'Blé_d''automne'!G18)*(1+IF(Saisies!C44="",Saisies!B44,Saisies!C44)*IF(Saisies!C59="",Saisies!B59,Saisies!C59))</f>
        <v>23.28</v>
      </c>
      <c r="S17" s="3">
        <f>Blé_printemps!D18*Saisies!B12*(1+Saisies!B43*Saisies!B59)</f>
        <v>23.28</v>
      </c>
      <c r="T17" s="3">
        <f>IF(Blé_printemps!G18="",Blé_printemps!D18*IF(Saisies!C12="",Saisies!B12,Saisies!C12),Blé_printemps!G18)*(1+IF(Saisies!C43="",Saisies!B43,Saisies!C43)*IF(Saisies!C59="",Saisies!B59,Saisies!C59))</f>
        <v>23.28</v>
      </c>
      <c r="V17" s="3">
        <f>Seigle!D18*Saisies!B14*(1+Saisies!B45*Saisies!B59)</f>
        <v>39.03</v>
      </c>
      <c r="W17" s="3">
        <f>IF(Seigle!G18="",Seigle!D18*IF(Saisies!C14="",Saisies!B14,Saisies!C14),Seigle!G18)*(1+IF(Saisies!C45="",Saisies!B45,Saisies!C45)*IF(Saisies!C59="",Saisies!B59,Saisies!C59))</f>
        <v>39.03</v>
      </c>
      <c r="Y17" s="3">
        <f>Seigle_hybride!D18*Saisies!B15*(1+Saisies!B46*Saisies!B59)</f>
        <v>39.03</v>
      </c>
      <c r="Z17" s="3">
        <f>IF(Seigle_hybride!G18="",Seigle_hybride!D18*IF(Saisies!C15="",Saisies!B15,Saisies!C15),Seigle_hybride!G18)*(1+IF(Saisies!C46="",Saisies!B46,Saisies!C46)*IF(Saisies!C59="",Saisies!B59,Saisies!C59))</f>
        <v>39.03</v>
      </c>
      <c r="AA17" s="37"/>
      <c r="AB17" s="34">
        <f>('Maïs-grain'!D18*Saisies!B8)*(1+Saisies!B39*Saisies!B60)</f>
        <v>32.39</v>
      </c>
      <c r="AC17" s="3">
        <f>IF('Maïs-grain'!G18="",'Maïs-grain'!D18*IF(Saisies!C8="",Saisies!B8,Saisies!C8),'Maïs-grain'!G18)*(1+IF(Saisies!C39="",Saisies!B39,Saisies!C39)*IF(Saisies!C60="",Saisies!B60,Saisies!C60))</f>
        <v>32.39</v>
      </c>
      <c r="AE17" s="3">
        <f>(Soya!D18*Saisies!B9)*(1+Saisies!B40*Saisies!B60)</f>
        <v>25.54</v>
      </c>
      <c r="AF17" s="3">
        <f>IF(Soya!G18="",Soya!D18*IF(Saisies!C9="",Saisies!B9,Saisies!C9),Soya!G18)*(1+IF(Saisies!C40="",Saisies!B40,Saisies!C40)*IF(Saisies!C60="",Saisies!B60,Saisies!C60))</f>
        <v>25.54</v>
      </c>
      <c r="AH17" s="3">
        <f>(Orge!D18*Saisies!B10)*(1+Saisies!B41*Saisies!B60)</f>
        <v>14.87</v>
      </c>
      <c r="AI17" s="3">
        <f>IF(Orge!G18="",Orge!D18*IF(Saisies!C10="",Saisies!B10,Saisies!C10),Orge!G18)*(1+IF(Saisies!C41="",Saisies!B41,Saisies!C41)*IF(Saisies!C60="",Saisies!B60,Saisies!C60))</f>
        <v>14.87</v>
      </c>
      <c r="AK17" s="3">
        <f>Avoine!D18*Saisies!B11</f>
        <v>44.99</v>
      </c>
      <c r="AL17" s="3">
        <f>IF(Avoine!G18="",Avoine!D18*IF(Saisies!C11="",Saisies!B11,Saisies!C11),Avoine!G18)*(1+IF(Saisies!C42="",Saisies!B42,Saisies!C42)*IF(Saisies!C60="",Saisies!B60,Saisies!C60))</f>
        <v>44.99</v>
      </c>
      <c r="AN17" s="3">
        <f>('Blé_d''automne'!D18*Saisies!B13)*(1+Saisies!B44*Saisies!B60)</f>
        <v>23.28</v>
      </c>
      <c r="AO17" s="3">
        <f>IF('Blé_d''automne'!G18="",'Blé_d''automne'!D18*IF(Saisies!C13="",Saisies!B13,Saisies!C13),'Blé_d''automne'!G18)*(1+IF(Saisies!C44="",Saisies!B44,Saisies!C44)*IF(Saisies!C60="",Saisies!B60,Saisies!C60))</f>
        <v>23.28</v>
      </c>
      <c r="AQ17" s="3">
        <f>(Blé_printemps!D18*Saisies!B12)*(1+Saisies!B43*Saisies!B60)</f>
        <v>23.28</v>
      </c>
      <c r="AR17" s="3">
        <f>IF(Blé_printemps!G18="",Blé_printemps!D18*IF(Saisies!C12="",Saisies!B12,Saisies!C12),Blé_printemps!G18)*(1+IF(Saisies!C43="",Saisies!B43,Saisies!C43)*IF(Saisies!C60="",Saisies!B60,Saisies!C60))</f>
        <v>23.28</v>
      </c>
      <c r="AT17" s="3">
        <f>(Seigle!D18*Saisies!B14)*(1+Saisies!B45*Saisies!B60)</f>
        <v>39.03</v>
      </c>
      <c r="AU17" s="3">
        <f>IF(Seigle!G18="",Seigle!D18*IF(Saisies!C14="",Saisies!B14,Saisies!C14),Seigle!G18)*(1+IF(Saisies!C45="",Saisies!B45,Saisies!C45)*IF(Saisies!C60="",Saisies!B60,Saisies!C60))</f>
        <v>39.03</v>
      </c>
      <c r="AW17" s="3">
        <f>(Seigle_hybride!D18*Saisies!B15)*(1+Saisies!B46*Saisies!B60)</f>
        <v>39.03</v>
      </c>
      <c r="AX17" s="3">
        <f>IF(Seigle_hybride!G18="",Seigle_hybride!D18*IF(Saisies!C15="",Saisies!B15,Saisies!C15),Seigle_hybride!G18)*(1+IF(Saisies!C46="",Saisies!B46,Saisies!C46)*IF(Saisies!C60="",Saisies!B60,Saisies!C60))</f>
        <v>39.03</v>
      </c>
      <c r="AY17" s="37"/>
      <c r="AZ17" s="34">
        <f>('Maïs-grain'!D18*Saisies!B8)*(1+Saisies!B39*Saisies!B61)</f>
        <v>32.39</v>
      </c>
      <c r="BA17" s="3">
        <f>IF('Maïs-grain'!G18="",'Maïs-grain'!D18*IF(Saisies!C8="",Saisies!B8,Saisies!C8),'Maïs-grain'!G18)*(1+IF(Saisies!C39="",Saisies!B39,Saisies!C39)*IF(Saisies!C61="",Saisies!B61,Saisies!C61))</f>
        <v>32.39</v>
      </c>
      <c r="BC17" s="3">
        <f>(Soya!D18*Saisies!B9)*(1+Saisies!B40*Saisies!B61)</f>
        <v>25.54</v>
      </c>
      <c r="BD17" s="3">
        <f>IF(Soya!G18="",Soya!D18*IF(Saisies!C9="",Saisies!B9,Saisies!C9),Soya!G18)*(1+IF(Saisies!C40="",Saisies!B40,Saisies!C40)*IF(Saisies!C61="",Saisies!B61,Saisies!C61))</f>
        <v>25.54</v>
      </c>
      <c r="BF17" s="3">
        <f>(Orge!D18*Saisies!B10)*(1+Saisies!B41*Saisies!B61)</f>
        <v>14.87</v>
      </c>
      <c r="BG17" s="3">
        <f>IF(Orge!G18="",Orge!D18*IF(Saisies!C10="",Saisies!B10,Saisies!C10),Orge!G18)*(1+IF(Saisies!C41="",Saisies!B41,Saisies!C41)*IF(Saisies!C61="",Saisies!B61,Saisies!C61))</f>
        <v>14.87</v>
      </c>
      <c r="BI17" s="3">
        <f>(Avoine!D18*Saisies!B11)*(1+Saisies!B42*Saisies!B61)</f>
        <v>44.99</v>
      </c>
      <c r="BJ17" s="3">
        <f>IF(Avoine!G18="",Avoine!D18*IF(Saisies!C11="",Saisies!B11,Saisies!C11),Avoine!G18)*(1+IF(Saisies!C42="",Saisies!B42,Saisies!C42)*IF(Saisies!C61="",Saisies!B61,Saisies!C61))</f>
        <v>44.99</v>
      </c>
      <c r="BL17" s="3">
        <f>('Blé_d''automne'!D18*Saisies!B13)*(1+Saisies!B44*Saisies!B61)</f>
        <v>23.28</v>
      </c>
      <c r="BM17" s="3">
        <f>IF('Blé_d''automne'!G18="",'Blé_d''automne'!D18*IF(Saisies!C13="",Saisies!B13,Saisies!C13),'Blé_d''automne'!G18)*(1+IF(Saisies!C44="",Saisies!B44,Saisies!C44)*IF(Saisies!C61="",Saisies!B61,Saisies!C61))</f>
        <v>23.28</v>
      </c>
      <c r="BO17" s="3">
        <f>(Blé_printemps!D18*Saisies!B12)*(1+Saisies!B43*Saisies!B61)</f>
        <v>23.28</v>
      </c>
      <c r="BP17" s="3">
        <f>IF(Blé_printemps!G18="",Blé_printemps!D18*IF(Saisies!C12="",Saisies!B12,Saisies!C12),Blé_printemps!G18)*(1+IF(Saisies!C43="",Saisies!B43,Saisies!C43)*IF(Saisies!C61="",Saisies!B61,Saisies!C61))</f>
        <v>23.28</v>
      </c>
      <c r="BR17" s="3">
        <f>(Seigle!D18*Saisies!B14)*(1+Saisies!B45*Saisies!B61)</f>
        <v>39.03</v>
      </c>
      <c r="BS17" s="3">
        <f>IF(Seigle!G18="",Seigle!D18*IF(Saisies!C14="",Saisies!B14,Saisies!C14),Seigle!G18)*(1+IF(Saisies!C45="",Saisies!B45,Saisies!C45)*IF(Saisies!C61="",Saisies!B61,Saisies!C61))</f>
        <v>39.03</v>
      </c>
      <c r="BU17" s="3">
        <f>(Seigle_hybride!D18*Saisies!B15)*(1+Saisies!B46*Saisies!B61)</f>
        <v>39.03</v>
      </c>
      <c r="BV17" s="3">
        <f>IF(Seigle_hybride!G18="",Seigle_hybride!D18*IF(Saisies!C15="",Saisies!B15,Saisies!C15),Seigle_hybride!G18)*(1+IF(Saisies!C46="",Saisies!B46,Saisies!C46)*IF(Saisies!C61="",Saisies!B61,Saisies!C61))</f>
        <v>39.03</v>
      </c>
    </row>
    <row r="18" spans="1:74" x14ac:dyDescent="0.25">
      <c r="A18" t="s">
        <v>137</v>
      </c>
      <c r="D18" s="3">
        <f>'Maïs-grain'!E19</f>
        <v>413.65</v>
      </c>
      <c r="E18" s="3">
        <f>IF('Maïs-grain'!G22="",'Intermédiaire_Prod-Résultats'!D18,'Maïs-grain'!G22)</f>
        <v>413.65</v>
      </c>
      <c r="G18" s="3">
        <f>Soya!E19</f>
        <v>245.99</v>
      </c>
      <c r="H18" s="3">
        <f>IF(Soya!G19="",'Intermédiaire_Prod-Résultats'!G18,Soya!G19)</f>
        <v>245.99</v>
      </c>
      <c r="J18" s="3">
        <f>Orge!E19</f>
        <v>323.33</v>
      </c>
      <c r="K18" s="3">
        <f>IF(Orge!G19="",'Intermédiaire_Prod-Résultats'!J18,Orge!G19)</f>
        <v>323.33</v>
      </c>
      <c r="M18" s="3">
        <f>Avoine!E19</f>
        <v>272.22000000000003</v>
      </c>
      <c r="N18" s="3">
        <f>IF(Avoine!G19="",'Intermédiaire_Prod-Résultats'!M18,Avoine!G19)</f>
        <v>272.22000000000003</v>
      </c>
      <c r="P18" s="3">
        <f>'Blé_d''automne'!E19</f>
        <v>103.24</v>
      </c>
      <c r="Q18" s="3">
        <f>IF('Blé_d''automne'!G19="",'Intermédiaire_Prod-Résultats'!P18,'Blé_d''automne'!G19)</f>
        <v>103.24</v>
      </c>
      <c r="S18" s="3">
        <f>Blé_printemps!E19</f>
        <v>103.24</v>
      </c>
      <c r="T18" s="3">
        <f>IF(Blé_printemps!G19="",'Intermédiaire_Prod-Résultats'!S18,Blé_printemps!G19)</f>
        <v>103.24</v>
      </c>
      <c r="V18" s="3">
        <f>Seigle!E19</f>
        <v>160.85</v>
      </c>
      <c r="W18" s="3">
        <f>IF(Seigle!G19="",'Intermédiaire_Prod-Résultats'!V18,Seigle!G19)</f>
        <v>160.85</v>
      </c>
      <c r="Y18" s="3">
        <f>Seigle_hybride!E19</f>
        <v>160.85</v>
      </c>
      <c r="Z18" s="3">
        <f>IF(Seigle_hybride!G19="",'Intermédiaire_Prod-Résultats'!Y18,Seigle_hybride!G19)</f>
        <v>160.85</v>
      </c>
      <c r="AA18" s="37"/>
      <c r="AB18" s="34">
        <f>'Maïs-grain'!E19</f>
        <v>413.65</v>
      </c>
      <c r="AC18" s="3">
        <f>IF('Maïs-grain'!G22="",'Intermédiaire_Prod-Résultats'!AB18,'Maïs-grain'!G22)</f>
        <v>413.65</v>
      </c>
      <c r="AE18" s="3">
        <f>Soya!E19</f>
        <v>245.99</v>
      </c>
      <c r="AF18" s="3">
        <f>IF(Soya!G19="",'Intermédiaire_Prod-Résultats'!AE18,Soya!G19)</f>
        <v>245.99</v>
      </c>
      <c r="AH18" s="3">
        <f>Orge!E19</f>
        <v>323.33</v>
      </c>
      <c r="AI18" s="3">
        <f>IF(Orge!G19="",'Intermédiaire_Prod-Résultats'!AH18,Orge!G19)</f>
        <v>323.33</v>
      </c>
      <c r="AK18" s="3">
        <f>Avoine!E19</f>
        <v>272.22000000000003</v>
      </c>
      <c r="AL18" s="3">
        <f>IF(Avoine!G19="",'Intermédiaire_Prod-Résultats'!AK18,Avoine!G19)</f>
        <v>272.22000000000003</v>
      </c>
      <c r="AN18" s="3">
        <f>'Blé_d''automne'!E19</f>
        <v>103.24</v>
      </c>
      <c r="AO18" s="3">
        <f>IF('Blé_d''automne'!G19="",'Intermédiaire_Prod-Résultats'!AN18,'Blé_d''automne'!G19)</f>
        <v>103.24</v>
      </c>
      <c r="AQ18" s="3">
        <f>Blé_printemps!E19</f>
        <v>103.24</v>
      </c>
      <c r="AR18" s="3">
        <f>IF(Blé_printemps!G19="",'Intermédiaire_Prod-Résultats'!AQ18,Blé_printemps!G19)</f>
        <v>103.24</v>
      </c>
      <c r="AT18" s="3">
        <f>Seigle!E19</f>
        <v>160.85</v>
      </c>
      <c r="AU18" s="3">
        <f>IF(Seigle!G19="",'Intermédiaire_Prod-Résultats'!AT18,Seigle!G19)</f>
        <v>160.85</v>
      </c>
      <c r="AW18" s="3">
        <f>Seigle_hybride!E19</f>
        <v>160.85</v>
      </c>
      <c r="AX18" s="3">
        <f>IF(Seigle_hybride!G19="",'Intermédiaire_Prod-Résultats'!AW18,Seigle_hybride!G19)</f>
        <v>160.85</v>
      </c>
      <c r="AY18" s="37"/>
      <c r="AZ18" s="34">
        <f>'Maïs-grain'!E19</f>
        <v>413.65</v>
      </c>
      <c r="BA18" s="3">
        <f>IF('Maïs-grain'!G19="",'Intermédiaire_Prod-Résultats'!AZ18,'Maïs-grain'!G19)</f>
        <v>413.65</v>
      </c>
      <c r="BC18" s="3">
        <f>Soya!E19</f>
        <v>245.99</v>
      </c>
      <c r="BD18" s="3">
        <f>IF(Soya!G19="",'Intermédiaire_Prod-Résultats'!BC18,Soya!G19)</f>
        <v>245.99</v>
      </c>
      <c r="BF18" s="3">
        <f>Orge!E19</f>
        <v>323.33</v>
      </c>
      <c r="BG18" s="3">
        <f>IF(Orge!G19="",'Intermédiaire_Prod-Résultats'!BF18,Orge!G19)</f>
        <v>323.33</v>
      </c>
      <c r="BI18" s="3">
        <f>Avoine!E19</f>
        <v>272.22000000000003</v>
      </c>
      <c r="BJ18" s="3">
        <f>IF(Avoine!G19="",'Intermédiaire_Prod-Résultats'!BI18,Avoine!G19)</f>
        <v>272.22000000000003</v>
      </c>
      <c r="BL18" s="3">
        <f>'Blé_d''automne'!E19</f>
        <v>103.24</v>
      </c>
      <c r="BM18" s="3">
        <f>IF('Blé_d''automne'!G19="",'Intermédiaire_Prod-Résultats'!BL18,'Blé_d''automne'!G19)</f>
        <v>103.24</v>
      </c>
      <c r="BO18" s="3">
        <f>Blé_printemps!E19</f>
        <v>103.24</v>
      </c>
      <c r="BP18" s="3">
        <f>IF(Blé_printemps!G19="",'Intermédiaire_Prod-Résultats'!BO18,Blé_printemps!G19)</f>
        <v>103.24</v>
      </c>
      <c r="BR18" s="3">
        <f>Seigle!E19</f>
        <v>160.85</v>
      </c>
      <c r="BS18" s="3">
        <f>IF(Seigle!G19="",'Intermédiaire_Prod-Résultats'!BR18,Seigle!G19)</f>
        <v>160.85</v>
      </c>
      <c r="BU18" s="3">
        <f>Seigle_hybride!E19</f>
        <v>160.85</v>
      </c>
      <c r="BV18" s="3">
        <f>IF(Seigle_hybride!G19="",'Intermédiaire_Prod-Résultats'!BU18,Seigle_hybride!G19)</f>
        <v>160.85</v>
      </c>
    </row>
    <row r="19" spans="1:74" x14ac:dyDescent="0.25">
      <c r="A19" t="s">
        <v>138</v>
      </c>
      <c r="D19" s="3">
        <f>'Maïs-grain'!E20</f>
        <v>258.98</v>
      </c>
      <c r="E19" s="3">
        <f>IF('Maïs-grain'!G23="",'Intermédiaire_Prod-Résultats'!D19,'Maïs-grain'!G23)</f>
        <v>258.98</v>
      </c>
      <c r="G19" s="3">
        <f>Soya!E20</f>
        <v>213.35</v>
      </c>
      <c r="H19" s="3">
        <f>IF(Soya!G20="",'Intermédiaire_Prod-Résultats'!G19,Soya!G20)</f>
        <v>213.35</v>
      </c>
      <c r="J19" s="3">
        <f>Orge!E20</f>
        <v>204.14</v>
      </c>
      <c r="K19" s="3">
        <f>IF(Orge!G20="",'Intermédiaire_Prod-Résultats'!J19,Orge!G20)*(1+IF(Saisies!C41="",Saisies!B41,Saisies!C41)*IF(Saisies!C59="",Saisies!B59,Saisies!C59))</f>
        <v>204.14</v>
      </c>
      <c r="M19" s="3">
        <f>Avoine!E20</f>
        <v>163.11000000000001</v>
      </c>
      <c r="N19" s="3">
        <f>IF(Avoine!G20="",'Intermédiaire_Prod-Résultats'!M19,Avoine!G20)</f>
        <v>163.11000000000001</v>
      </c>
      <c r="P19" s="3">
        <f>'Blé_d''automne'!E20</f>
        <v>213.57</v>
      </c>
      <c r="Q19" s="3">
        <f>IF('Blé_d''automne'!G20="",'Intermédiaire_Prod-Résultats'!P19,'Blé_d''automne'!G20)</f>
        <v>213.57</v>
      </c>
      <c r="S19" s="3">
        <f>Blé_printemps!E20</f>
        <v>213.57</v>
      </c>
      <c r="T19" s="3">
        <f>IF(Blé_printemps!G20="",'Intermédiaire_Prod-Résultats'!S19,Blé_printemps!G20)</f>
        <v>213.57</v>
      </c>
      <c r="V19" s="3">
        <f>Seigle!E20</f>
        <v>200.93</v>
      </c>
      <c r="W19" s="3">
        <f>IF(Seigle!G20="",'Intermédiaire_Prod-Résultats'!V19,Seigle!G20)</f>
        <v>200.93</v>
      </c>
      <c r="Y19" s="3">
        <f>Seigle_hybride!E20</f>
        <v>200.93</v>
      </c>
      <c r="Z19" s="3">
        <f>IF(Seigle_hybride!G20="",'Intermédiaire_Prod-Résultats'!Y19,Seigle_hybride!G20)</f>
        <v>200.93</v>
      </c>
      <c r="AA19" s="37"/>
      <c r="AB19" s="34">
        <f>'Maïs-grain'!E20</f>
        <v>258.98</v>
      </c>
      <c r="AC19" s="3">
        <f>IF('Maïs-grain'!G23="",'Intermédiaire_Prod-Résultats'!AB19,'Maïs-grain'!G23)</f>
        <v>258.98</v>
      </c>
      <c r="AE19" s="3">
        <f>Soya!E20</f>
        <v>213.35</v>
      </c>
      <c r="AF19" s="3">
        <f>IF(Soya!G20="",'Intermédiaire_Prod-Résultats'!AE19,Soya!G20)</f>
        <v>213.35</v>
      </c>
      <c r="AH19" s="3">
        <f>Orge!E20</f>
        <v>204.14</v>
      </c>
      <c r="AI19" s="3">
        <f>IF(Orge!G20="",'Intermédiaire_Prod-Résultats'!AH19,Orge!G20)</f>
        <v>204.14</v>
      </c>
      <c r="AK19" s="3">
        <f>Avoine!E20</f>
        <v>163.11000000000001</v>
      </c>
      <c r="AL19" s="3">
        <f>IF(Avoine!G20="",'Intermédiaire_Prod-Résultats'!AK19,Avoine!G20)</f>
        <v>163.11000000000001</v>
      </c>
      <c r="AN19" s="3">
        <f>'Blé_d''automne'!E20</f>
        <v>213.57</v>
      </c>
      <c r="AO19" s="3">
        <f>IF('Blé_d''automne'!G20="",'Intermédiaire_Prod-Résultats'!AN19,'Blé_d''automne'!G20)</f>
        <v>213.57</v>
      </c>
      <c r="AQ19" s="3">
        <f>Blé_printemps!E20</f>
        <v>213.57</v>
      </c>
      <c r="AR19" s="3">
        <f>IF(Blé_printemps!G20="",'Intermédiaire_Prod-Résultats'!AQ19,Blé_printemps!G20)</f>
        <v>213.57</v>
      </c>
      <c r="AT19" s="3">
        <f>Seigle!E20</f>
        <v>200.93</v>
      </c>
      <c r="AU19" s="3">
        <f>IF(Seigle!G20="",'Intermédiaire_Prod-Résultats'!AT19,Seigle!G20)</f>
        <v>200.93</v>
      </c>
      <c r="AW19" s="3">
        <f>Seigle_hybride!E20</f>
        <v>200.93</v>
      </c>
      <c r="AX19" s="3">
        <f>IF(Seigle_hybride!G20="",'Intermédiaire_Prod-Résultats'!AW19,Seigle_hybride!G20)</f>
        <v>200.93</v>
      </c>
      <c r="AY19" s="37"/>
      <c r="AZ19" s="34">
        <f>'Maïs-grain'!E20</f>
        <v>258.98</v>
      </c>
      <c r="BA19" s="3">
        <f>IF('Maïs-grain'!G20="",'Intermédiaire_Prod-Résultats'!AZ19,'Maïs-grain'!G20)</f>
        <v>258.98</v>
      </c>
      <c r="BC19" s="3">
        <f>Soya!E20</f>
        <v>213.35</v>
      </c>
      <c r="BD19" s="3">
        <f>IF(Soya!G20="",'Intermédiaire_Prod-Résultats'!BC19,Soya!G20)</f>
        <v>213.35</v>
      </c>
      <c r="BF19" s="3">
        <f>Orge!E20</f>
        <v>204.14</v>
      </c>
      <c r="BG19" s="3">
        <f>IF(Orge!G20="",'Intermédiaire_Prod-Résultats'!BF19,Orge!G20)</f>
        <v>204.14</v>
      </c>
      <c r="BI19" s="3">
        <f>Avoine!E20</f>
        <v>163.11000000000001</v>
      </c>
      <c r="BJ19" s="3">
        <f>IF(Avoine!G20="",'Intermédiaire_Prod-Résultats'!BI19,Avoine!G20)</f>
        <v>163.11000000000001</v>
      </c>
      <c r="BL19" s="3">
        <f>'Blé_d''automne'!E20</f>
        <v>213.57</v>
      </c>
      <c r="BM19" s="3">
        <f>IF('Blé_d''automne'!G20="",'Intermédiaire_Prod-Résultats'!BL19,'Blé_d''automne'!G20)</f>
        <v>213.57</v>
      </c>
      <c r="BO19" s="3">
        <f>Blé_printemps!E20</f>
        <v>213.57</v>
      </c>
      <c r="BP19" s="3">
        <f>IF(Blé_printemps!G20="",'Intermédiaire_Prod-Résultats'!BO19,Blé_printemps!G20)</f>
        <v>213.57</v>
      </c>
      <c r="BR19" s="3">
        <f>Seigle!E20</f>
        <v>200.93</v>
      </c>
      <c r="BS19" s="3">
        <f>IF(Seigle!G20="",'Intermédiaire_Prod-Résultats'!BR19,Seigle!G20)</f>
        <v>200.93</v>
      </c>
      <c r="BU19" s="3">
        <f>Seigle_hybride!E20</f>
        <v>200.93</v>
      </c>
      <c r="BV19" s="3">
        <f>IF(Seigle_hybride!G20="",'Intermédiaire_Prod-Résultats'!BU19,Seigle_hybride!G20)</f>
        <v>200.93</v>
      </c>
    </row>
    <row r="20" spans="1:74" x14ac:dyDescent="0.25">
      <c r="A20" t="s">
        <v>139</v>
      </c>
      <c r="D20" s="3">
        <f>'Maïs-grain'!D21*Saisies!B8*(1+Saisies!B39*Saisies!B59)</f>
        <v>195.6</v>
      </c>
      <c r="E20" s="3">
        <f>IF('Maïs-grain'!G21="",'Maïs-grain'!D21*IF(Saisies!C8="",Saisies!B8,Saisies!C8),'Maïs-grain'!G21)*(1+IF(Saisies!C39="",Saisies!B39,Saisies!C39)*IF(Saisies!C59="",Saisies!B59,Saisies!C59))</f>
        <v>195.6</v>
      </c>
      <c r="G20" s="3">
        <f>Soya!D21*Saisies!B9*(1+Saisies!B40*Saisies!B59)</f>
        <v>87.81</v>
      </c>
      <c r="H20" s="3">
        <f>IF(Soya!G21="",Soya!D21*IF(Saisies!C9="",Saisies!B9,Saisies!C9),Soya!G21)*(1+IF(Saisies!C40="",Saisies!B40,Saisies!C40)*IF(Saisies!C59="",Saisies!B59,Saisies!C59))</f>
        <v>87.81</v>
      </c>
      <c r="J20" s="3">
        <f>Orge!D21*Saisies!B10*(1+Saisies!B41*Saisies!B59)</f>
        <v>122.32</v>
      </c>
      <c r="K20" s="3">
        <f>IF(Orge!G21="",Orge!D21*IF(Saisies!C10="",Saisies!B10,Saisies!C10),Orge!G21)</f>
        <v>122.32</v>
      </c>
      <c r="M20" s="3">
        <f>Avoine!D21*Saisies!B11*(1+Saisies!B42*Saisies!B59)</f>
        <v>119.16</v>
      </c>
      <c r="N20" s="3">
        <f>IF(Avoine!G21="",Avoine!D21*IF(Saisies!C11="",Saisies!B11,Saisies!C11),Avoine!G21)*(1+IF(Saisies!C42="",Saisies!B42,Saisies!C42)*IF(Saisies!C59="",Saisies!B59,Saisies!C59))</f>
        <v>119.16</v>
      </c>
      <c r="P20" s="3">
        <f>'Blé_d''automne'!D21*Saisies!B13*(1+Saisies!B44*Saisies!B59)</f>
        <v>139.03</v>
      </c>
      <c r="Q20" s="3">
        <f>IF('Blé_d''automne'!G21="",'Blé_d''automne'!D21*IF(Saisies!C13="",Saisies!B13,Saisies!C13),'Blé_d''automne'!G21)*(1+IF(Saisies!C44="",Saisies!B44,Saisies!C44)*IF(Saisies!C59="",Saisies!B59,Saisies!C59))</f>
        <v>139.03</v>
      </c>
      <c r="S20" s="3">
        <f>Blé_printemps!D21*Saisies!B12*(1+Saisies!B43*Saisies!B59)</f>
        <v>139.03</v>
      </c>
      <c r="T20" s="3">
        <f>IF(Blé_printemps!G21="",Blé_printemps!D21*IF(Saisies!C12="",Saisies!B12,Saisies!C12),Blé_printemps!G21)*(1+IF(Saisies!C43="",Saisies!B43,Saisies!C43)*IF(Saisies!C59="",Saisies!B59,Saisies!C59))</f>
        <v>139.03</v>
      </c>
      <c r="V20" s="3">
        <f>Seigle!D21*Saisies!B14*(1+Saisies!B45*Saisies!B59)</f>
        <v>106.62</v>
      </c>
      <c r="W20" s="3">
        <f>IF(Seigle!G21="",Seigle!D21*IF(Saisies!C14="",Saisies!B14,Saisies!C14),Seigle!G21)*(1+IF(Saisies!C45="",Saisies!B45,Saisies!C45)*IF(Saisies!C59="",Saisies!B59,Saisies!C59))</f>
        <v>106.62</v>
      </c>
      <c r="Y20" s="3">
        <f>Seigle_hybride!D21*Saisies!B15*(1+Saisies!B46*Saisies!B59)</f>
        <v>106.62</v>
      </c>
      <c r="Z20" s="3">
        <f>IF(Seigle_hybride!G21="",Seigle_hybride!D21*IF(Saisies!C15="",Saisies!B15,Saisies!C15),Seigle_hybride!G21)*(1+IF(Saisies!C46="",Saisies!B46,Saisies!C46)*IF(Saisies!C59="",Saisies!B59,Saisies!C59))</f>
        <v>106.62</v>
      </c>
      <c r="AA20" s="37"/>
      <c r="AB20" s="34">
        <f>('Maïs-grain'!D21*Saisies!B8)*(1+Saisies!B39*Saisies!B60)</f>
        <v>195.6</v>
      </c>
      <c r="AC20" s="3">
        <f>IF('Maïs-grain'!G21="",'Maïs-grain'!D21*IF(Saisies!C8="",Saisies!B8,Saisies!C8),'Maïs-grain'!G21)*(1+IF(Saisies!C39="",Saisies!B39,Saisies!C39)*IF(Saisies!C60="",Saisies!B60,Saisies!C60))</f>
        <v>195.6</v>
      </c>
      <c r="AE20" s="3">
        <f>(Soya!D21*Saisies!B9)*(1+Saisies!B40*Saisies!B60)</f>
        <v>87.81</v>
      </c>
      <c r="AF20" s="3">
        <f>IF(Soya!G21="",Soya!D21*IF(Saisies!C9="",Saisies!B9,Saisies!C9),Soya!G21)*(1+IF(Saisies!C40="",Saisies!B40,Saisies!C40)*IF(Saisies!C60="",Saisies!B60,Saisies!C60))</f>
        <v>87.81</v>
      </c>
      <c r="AH20" s="3">
        <f>(Orge!D21*Saisies!B10)*(1+Saisies!B41*Saisies!B60)</f>
        <v>122.32</v>
      </c>
      <c r="AI20" s="3">
        <f>IF(Orge!G21="",Orge!D21*IF(Saisies!C10="",Saisies!B10,Saisies!C10),Orge!G21)*(1+IF(Saisies!C41="",Saisies!B41,Saisies!C41)*IF(Saisies!C60="",Saisies!B60,Saisies!C60))</f>
        <v>122.32</v>
      </c>
      <c r="AK20" s="3">
        <f>Avoine!D21*Saisies!B11</f>
        <v>119.16</v>
      </c>
      <c r="AL20" s="3">
        <f>IF(Avoine!G21="",Avoine!D21*IF(Saisies!C11="",Saisies!B11,Saisies!C11),Avoine!G21)*(1+IF(Saisies!C42="",Saisies!B42,Saisies!C42)*IF(Saisies!C60="",Saisies!B60,Saisies!C60))</f>
        <v>119.16</v>
      </c>
      <c r="AN20" s="3">
        <f>('Blé_d''automne'!D21*Saisies!B13)*(1+Saisies!B44*Saisies!B60)</f>
        <v>139.03</v>
      </c>
      <c r="AO20" s="3">
        <f>IF('Blé_d''automne'!G21="",'Blé_d''automne'!D21*IF(Saisies!C13="",Saisies!B13,Saisies!C13),'Blé_d''automne'!G21)*(1+IF(Saisies!C44="",Saisies!B44,Saisies!C44)*IF(Saisies!C60="",Saisies!B60,Saisies!C60))</f>
        <v>139.03</v>
      </c>
      <c r="AQ20" s="3">
        <f>(Blé_printemps!D21*Saisies!B12)*(1+Saisies!B43*Saisies!B60)</f>
        <v>139.03</v>
      </c>
      <c r="AR20" s="3">
        <f>IF(Blé_printemps!G21="",Blé_printemps!D21*IF(Saisies!C12="",Saisies!B12,Saisies!C12),Blé_printemps!G21)*(1+IF(Saisies!C43="",Saisies!B43,Saisies!C43)*IF(Saisies!C60="",Saisies!B60,Saisies!C60))</f>
        <v>139.03</v>
      </c>
      <c r="AT20" s="3">
        <f>(Seigle!D21*Saisies!B14)*(1+Saisies!B45*Saisies!B60)</f>
        <v>106.62</v>
      </c>
      <c r="AU20" s="3">
        <f>IF(Seigle!G21="",Seigle!D21*IF(Saisies!C14="",Saisies!B14,Saisies!C14),Seigle!G21)*(1+IF(Saisies!C45="",Saisies!B45,Saisies!C45)*IF(Saisies!C60="",Saisies!B60,Saisies!C60))</f>
        <v>106.62</v>
      </c>
      <c r="AW20" s="3">
        <f>(Seigle_hybride!D21*Saisies!B15)*(1+Saisies!B46*Saisies!B60)</f>
        <v>106.62</v>
      </c>
      <c r="AX20" s="3">
        <f>IF(Seigle_hybride!G21="",Seigle_hybride!D21*IF(Saisies!C15="",Saisies!B15,Saisies!C15),Seigle_hybride!G21)*(1+IF(Saisies!C46="",Saisies!B46,Saisies!C46)*IF(Saisies!C60="",Saisies!B60,Saisies!C60))</f>
        <v>106.62</v>
      </c>
      <c r="AY20" s="37"/>
      <c r="AZ20" s="34">
        <f>('Maïs-grain'!D21*Saisies!B8)*(1+Saisies!B39*Saisies!B61)</f>
        <v>195.6</v>
      </c>
      <c r="BA20" s="3">
        <f>IF('Maïs-grain'!G21="",'Maïs-grain'!D21*IF(Saisies!C8="",Saisies!B8,Saisies!C8),'Maïs-grain'!G21)*(1+IF(Saisies!C39="",Saisies!B39,Saisies!C39)*IF(Saisies!C61="",Saisies!B61,Saisies!C61))</f>
        <v>195.6</v>
      </c>
      <c r="BC20" s="3">
        <f>(Soya!D21*Saisies!B9)*(1+Saisies!B40*Saisies!B61)</f>
        <v>87.81</v>
      </c>
      <c r="BD20" s="3">
        <f>IF(Soya!G21="",Soya!D21*IF(Saisies!C9="",Saisies!B9,Saisies!C9),Soya!G21)*(1+IF(Saisies!C40="",Saisies!B40,Saisies!C40)*IF(Saisies!C61="",Saisies!B61,Saisies!C61))</f>
        <v>87.81</v>
      </c>
      <c r="BF20" s="3">
        <f>(Orge!D21*Saisies!B10)*(1+Saisies!B41*Saisies!B61)</f>
        <v>122.32</v>
      </c>
      <c r="BG20" s="3">
        <f>IF(Orge!G21="",Orge!D21*IF(Saisies!C10="",Saisies!B10,Saisies!C10),Orge!G21)*(1+IF(Saisies!C41="",Saisies!B41,Saisies!C41)*IF(Saisies!C61="",Saisies!B61,Saisies!C61))</f>
        <v>122.32</v>
      </c>
      <c r="BI20" s="3">
        <f>(Avoine!D21*Saisies!B11)*(1+Saisies!B42*Saisies!B61)</f>
        <v>119.16</v>
      </c>
      <c r="BJ20" s="3">
        <f>IF(Avoine!G21="",Avoine!D21*IF(Saisies!C11="",Saisies!B11,Saisies!C11),Avoine!G21)*(1+IF(Saisies!C42="",Saisies!B42,Saisies!C42)*IF(Saisies!C61="",Saisies!B61,Saisies!C61))</f>
        <v>119.16</v>
      </c>
      <c r="BL20" s="3">
        <f>('Blé_d''automne'!D21*Saisies!B13)*(1+Saisies!B44*Saisies!B61)</f>
        <v>139.03</v>
      </c>
      <c r="BM20" s="3">
        <f>IF('Blé_d''automne'!G21="",'Blé_d''automne'!D21*IF(Saisies!C13="",Saisies!B13,Saisies!C13),'Blé_d''automne'!G21)*(1+IF(Saisies!C44="",Saisies!B44,Saisies!C44)*IF(Saisies!C61="",Saisies!B61,Saisies!C61))</f>
        <v>139.03</v>
      </c>
      <c r="BO20" s="3">
        <f>(Blé_printemps!D21*Saisies!B12)*(1+Saisies!B43*Saisies!B61)</f>
        <v>139.03</v>
      </c>
      <c r="BP20" s="3">
        <f>IF(Blé_printemps!G21="",Blé_printemps!D21*IF(Saisies!C12="",Saisies!B12,Saisies!C12),Blé_printemps!G21)*(1+IF(Saisies!C43="",Saisies!B43,Saisies!C43)*IF(Saisies!C61="",Saisies!B61,Saisies!C61))</f>
        <v>139.03</v>
      </c>
      <c r="BR20" s="3">
        <f>(Seigle!D21*Saisies!B14)*(1+Saisies!B45*Saisies!B61)</f>
        <v>106.62</v>
      </c>
      <c r="BS20" s="3">
        <f>IF(Seigle!G21="",Seigle!D21*IF(Saisies!C14="",Saisies!B14,Saisies!C14),Seigle!G21)*(1+IF(Saisies!C45="",Saisies!B45,Saisies!C45)*IF(Saisies!C61="",Saisies!B61,Saisies!C61))</f>
        <v>106.62</v>
      </c>
      <c r="BU20" s="3">
        <f>(Seigle_hybride!D21*Saisies!B15)*(1+Saisies!B46*Saisies!B61)</f>
        <v>106.62</v>
      </c>
      <c r="BV20" s="3">
        <f>IF(Seigle_hybride!G21="",Seigle_hybride!D21*IF(Saisies!C15="",Saisies!B15,Saisies!C15),Seigle_hybride!G21)*(1+IF(Saisies!C46="",Saisies!B46,Saisies!C46)*IF(Saisies!C61="",Saisies!B61,Saisies!C61))</f>
        <v>106.62</v>
      </c>
    </row>
    <row r="21" spans="1:74" x14ac:dyDescent="0.25">
      <c r="A21" t="s">
        <v>142</v>
      </c>
      <c r="D21" s="3">
        <f>'Maïs-grain'!E22</f>
        <v>95.15</v>
      </c>
      <c r="E21" s="3">
        <f>IF('Maïs-grain'!G22="",'Intermédiaire_Prod-Résultats'!D21,'Maïs-grain'!G22)</f>
        <v>95.15</v>
      </c>
      <c r="G21" s="3">
        <f>Soya!E22</f>
        <v>80.7</v>
      </c>
      <c r="H21" s="3">
        <f>IF(Soya!G22="",'Intermédiaire_Prod-Résultats'!G21,Soya!G22)</f>
        <v>80.7</v>
      </c>
      <c r="J21" s="3">
        <f>Orge!E22</f>
        <v>54.75</v>
      </c>
      <c r="K21" s="3">
        <f>IF(Orge!G22="",'Intermédiaire_Prod-Résultats'!J21,Orge!G22)</f>
        <v>54.75</v>
      </c>
      <c r="M21" s="3">
        <f>Avoine!E22</f>
        <v>61.46</v>
      </c>
      <c r="N21" s="3">
        <f>IF(Avoine!G22="",'Intermédiaire_Prod-Résultats'!M21,Avoine!G22)</f>
        <v>61.46</v>
      </c>
      <c r="P21" s="3">
        <f>'Blé_d''automne'!E22</f>
        <v>88.19</v>
      </c>
      <c r="Q21" s="3">
        <f>IF('Blé_d''automne'!G22="",'Intermédiaire_Prod-Résultats'!P21,'Blé_d''automne'!G22)</f>
        <v>88.19</v>
      </c>
      <c r="S21" s="3">
        <f>Blé_printemps!E22</f>
        <v>88.19</v>
      </c>
      <c r="T21" s="3">
        <f>IF(Blé_printemps!G22="",'Intermédiaire_Prod-Résultats'!S21,Blé_printemps!G22)</f>
        <v>88.19</v>
      </c>
      <c r="V21" s="3">
        <f>Seigle!E22</f>
        <v>55.35</v>
      </c>
      <c r="W21" s="3">
        <f>IF(Seigle!G22="",'Intermédiaire_Prod-Résultats'!V21,Seigle!G22)</f>
        <v>55.35</v>
      </c>
      <c r="Y21" s="3">
        <f>Seigle_hybride!E22</f>
        <v>55.35</v>
      </c>
      <c r="Z21" s="3">
        <f>IF(Seigle_hybride!G22="",'Intermédiaire_Prod-Résultats'!Y21,Seigle_hybride!G22)</f>
        <v>55.35</v>
      </c>
      <c r="AA21" s="37"/>
      <c r="AB21" s="34">
        <f>'Maïs-grain'!E22</f>
        <v>95.15</v>
      </c>
      <c r="AC21" s="3">
        <f>IF('Maïs-grain'!G22="",'Intermédiaire_Prod-Résultats'!AB21,'Maïs-grain'!G22)</f>
        <v>95.15</v>
      </c>
      <c r="AE21" s="3">
        <f>Soya!E22</f>
        <v>80.7</v>
      </c>
      <c r="AF21" s="3">
        <f>IF(Soya!G22="",'Intermédiaire_Prod-Résultats'!AE21,Soya!G22)</f>
        <v>80.7</v>
      </c>
      <c r="AH21" s="3">
        <f>Orge!E22</f>
        <v>54.75</v>
      </c>
      <c r="AI21" s="3">
        <f>IF(Orge!G22="",'Intermédiaire_Prod-Résultats'!AH21,Orge!G22)</f>
        <v>54.75</v>
      </c>
      <c r="AK21" s="3">
        <f>Avoine!E22</f>
        <v>61.46</v>
      </c>
      <c r="AL21" s="3">
        <f>IF(Avoine!G22="",'Intermédiaire_Prod-Résultats'!AK21,Avoine!G22)</f>
        <v>61.46</v>
      </c>
      <c r="AN21" s="3">
        <f>'Blé_d''automne'!E22</f>
        <v>88.19</v>
      </c>
      <c r="AO21" s="3">
        <f>IF('Blé_d''automne'!G22="",'Intermédiaire_Prod-Résultats'!AN21,'Blé_d''automne'!G22)</f>
        <v>88.19</v>
      </c>
      <c r="AQ21" s="3">
        <f>Blé_printemps!E22</f>
        <v>88.19</v>
      </c>
      <c r="AR21" s="3">
        <f>IF(Blé_printemps!G22="",'Intermédiaire_Prod-Résultats'!AQ21,Blé_printemps!G22)</f>
        <v>88.19</v>
      </c>
      <c r="AT21" s="3">
        <f>Seigle!E22</f>
        <v>55.35</v>
      </c>
      <c r="AU21" s="3">
        <f>IF(Seigle!G22="",'Intermédiaire_Prod-Résultats'!AT21,Seigle!G22)</f>
        <v>55.35</v>
      </c>
      <c r="AW21" s="3">
        <f>Seigle_hybride!E22</f>
        <v>55.35</v>
      </c>
      <c r="AX21" s="3">
        <f>IF(Seigle_hybride!G22="",'Intermédiaire_Prod-Résultats'!AW21,Seigle_hybride!G22)</f>
        <v>55.35</v>
      </c>
      <c r="AY21" s="37"/>
      <c r="AZ21" s="34">
        <f>'Maïs-grain'!E22</f>
        <v>95.15</v>
      </c>
      <c r="BA21" s="3">
        <f>IF('Maïs-grain'!G22="",'Intermédiaire_Prod-Résultats'!AZ21,'Maïs-grain'!G22)</f>
        <v>95.15</v>
      </c>
      <c r="BC21" s="3">
        <f>Soya!E22</f>
        <v>80.7</v>
      </c>
      <c r="BD21" s="3">
        <f>IF(Soya!G22="",'Intermédiaire_Prod-Résultats'!BC21,Soya!G22)</f>
        <v>80.7</v>
      </c>
      <c r="BF21" s="3">
        <f>Orge!E22</f>
        <v>54.75</v>
      </c>
      <c r="BG21" s="3">
        <f>IF(Orge!G22="",'Intermédiaire_Prod-Résultats'!BF21,Orge!G22)</f>
        <v>54.75</v>
      </c>
      <c r="BI21" s="3">
        <f>Avoine!E22</f>
        <v>61.46</v>
      </c>
      <c r="BJ21" s="3">
        <f>IF(Avoine!G22="",'Intermédiaire_Prod-Résultats'!BI21,Avoine!G22)</f>
        <v>61.46</v>
      </c>
      <c r="BL21" s="3">
        <f>'Blé_d''automne'!E22</f>
        <v>88.19</v>
      </c>
      <c r="BM21" s="3">
        <f>IF('Blé_d''automne'!G22="",'Intermédiaire_Prod-Résultats'!BL21,'Blé_d''automne'!G22)</f>
        <v>88.19</v>
      </c>
      <c r="BO21" s="3">
        <f>Blé_printemps!E22</f>
        <v>88.19</v>
      </c>
      <c r="BP21" s="3">
        <f>IF(Blé_printemps!G22="",'Intermédiaire_Prod-Résultats'!BO21,Blé_printemps!G22)</f>
        <v>88.19</v>
      </c>
      <c r="BR21" s="3">
        <f>Seigle!E22</f>
        <v>55.35</v>
      </c>
      <c r="BS21" s="3">
        <f>IF(Seigle!G22="",'Intermédiaire_Prod-Résultats'!BR21,Seigle!G22)</f>
        <v>55.35</v>
      </c>
      <c r="BU21" s="3">
        <f>Seigle_hybride!E22</f>
        <v>55.35</v>
      </c>
      <c r="BV21" s="3">
        <f>IF(Seigle_hybride!G22="",'Intermédiaire_Prod-Résultats'!BU21,Seigle_hybride!G22)</f>
        <v>55.35</v>
      </c>
    </row>
    <row r="22" spans="1:74" x14ac:dyDescent="0.25">
      <c r="A22" t="s">
        <v>143</v>
      </c>
      <c r="D22" s="3">
        <f>'Maïs-grain'!E23</f>
        <v>117.13</v>
      </c>
      <c r="E22" s="3">
        <f>IF('Maïs-grain'!G23="",'Intermédiaire_Prod-Résultats'!D22,'Maïs-grain'!G23)</f>
        <v>117.13</v>
      </c>
      <c r="G22" s="3">
        <f>Soya!E23</f>
        <v>124.44</v>
      </c>
      <c r="H22" s="3">
        <f>IF(Soya!G23="",'Intermédiaire_Prod-Résultats'!G22,Soya!G23)</f>
        <v>124.44</v>
      </c>
      <c r="J22" s="3">
        <f>Orge!E23</f>
        <v>100.27</v>
      </c>
      <c r="K22" s="3">
        <f>IF(Orge!G23="",'Intermédiaire_Prod-Résultats'!J22,Orge!G23)</f>
        <v>100.27</v>
      </c>
      <c r="M22" s="3">
        <f>Avoine!E23</f>
        <v>85.41</v>
      </c>
      <c r="N22" s="3">
        <f>IF(Avoine!G23="",'Intermédiaire_Prod-Résultats'!M22,Avoine!G23)</f>
        <v>85.41</v>
      </c>
      <c r="P22" s="3">
        <f>'Blé_d''automne'!E23</f>
        <v>95.61</v>
      </c>
      <c r="Q22" s="3">
        <f>IF('Blé_d''automne'!G23="",'Intermédiaire_Prod-Résultats'!P22,'Blé_d''automne'!G23)</f>
        <v>95.61</v>
      </c>
      <c r="S22" s="3">
        <f>Blé_printemps!E23</f>
        <v>95.61</v>
      </c>
      <c r="T22" s="3">
        <f>IF(Blé_printemps!G23="",'Intermédiaire_Prod-Résultats'!S22,Blé_printemps!G23)</f>
        <v>95.61</v>
      </c>
      <c r="V22" s="3">
        <f>Seigle!E23</f>
        <v>93.52</v>
      </c>
      <c r="W22" s="3">
        <f>IF(Seigle!G23="",'Intermédiaire_Prod-Résultats'!V22,Seigle!G23)</f>
        <v>93.52</v>
      </c>
      <c r="Y22" s="3">
        <f>Seigle_hybride!E23</f>
        <v>93.52</v>
      </c>
      <c r="Z22" s="3">
        <f>IF(Seigle_hybride!G23="",'Intermédiaire_Prod-Résultats'!Y22,Seigle_hybride!G23)</f>
        <v>93.52</v>
      </c>
      <c r="AA22" s="37"/>
      <c r="AB22" s="34">
        <f>'Maïs-grain'!E23</f>
        <v>117.13</v>
      </c>
      <c r="AC22" s="3">
        <f>IF('Maïs-grain'!G23="",'Intermédiaire_Prod-Résultats'!AB22,'Maïs-grain'!G23)</f>
        <v>117.13</v>
      </c>
      <c r="AE22" s="3">
        <f>Soya!E23</f>
        <v>124.44</v>
      </c>
      <c r="AF22" s="3">
        <f>IF(Soya!G23="",'Intermédiaire_Prod-Résultats'!AE22,Soya!G23)</f>
        <v>124.44</v>
      </c>
      <c r="AH22" s="3">
        <f>Orge!E23</f>
        <v>100.27</v>
      </c>
      <c r="AI22" s="3">
        <f>IF(Orge!G23="",'Intermédiaire_Prod-Résultats'!AH22,Orge!G23)</f>
        <v>100.27</v>
      </c>
      <c r="AK22" s="3">
        <f>Avoine!E23</f>
        <v>85.41</v>
      </c>
      <c r="AL22" s="3">
        <f>IF(Avoine!G23="",'Intermédiaire_Prod-Résultats'!AK22,Avoine!G23)</f>
        <v>85.41</v>
      </c>
      <c r="AN22" s="3">
        <f>'Blé_d''automne'!E23</f>
        <v>95.61</v>
      </c>
      <c r="AO22" s="3">
        <f>IF('Blé_d''automne'!G23="",'Intermédiaire_Prod-Résultats'!AN22,'Blé_d''automne'!G23)</f>
        <v>95.61</v>
      </c>
      <c r="AQ22" s="3">
        <f>Blé_printemps!E23</f>
        <v>95.61</v>
      </c>
      <c r="AR22" s="3">
        <f>IF(Blé_printemps!G23="",'Intermédiaire_Prod-Résultats'!AQ22,Blé_printemps!G23)</f>
        <v>95.61</v>
      </c>
      <c r="AT22" s="3">
        <f>Seigle!E23</f>
        <v>93.52</v>
      </c>
      <c r="AU22" s="3">
        <f>IF(Seigle!G23="",'Intermédiaire_Prod-Résultats'!AT22,Seigle!G23)</f>
        <v>93.52</v>
      </c>
      <c r="AW22" s="3">
        <f>Seigle_hybride!E23</f>
        <v>93.52</v>
      </c>
      <c r="AX22" s="3">
        <f>IF(Seigle_hybride!G23="",'Intermédiaire_Prod-Résultats'!AW22,Seigle_hybride!G23)</f>
        <v>93.52</v>
      </c>
      <c r="AY22" s="37"/>
      <c r="AZ22" s="34">
        <f>'Maïs-grain'!E23</f>
        <v>117.13</v>
      </c>
      <c r="BA22" s="3">
        <f>IF('Maïs-grain'!G23="",'Intermédiaire_Prod-Résultats'!AZ22,'Maïs-grain'!G23)</f>
        <v>117.13</v>
      </c>
      <c r="BC22" s="3">
        <f>Soya!E23</f>
        <v>124.44</v>
      </c>
      <c r="BD22" s="3">
        <f>IF(Soya!G23="",'Intermédiaire_Prod-Résultats'!BC22,Soya!G23)</f>
        <v>124.44</v>
      </c>
      <c r="BF22" s="3">
        <f>Orge!E23</f>
        <v>100.27</v>
      </c>
      <c r="BG22" s="3">
        <f>IF(Orge!G23="",'Intermédiaire_Prod-Résultats'!BF22,Orge!G23)</f>
        <v>100.27</v>
      </c>
      <c r="BI22" s="3">
        <f>Avoine!E23</f>
        <v>85.41</v>
      </c>
      <c r="BJ22" s="3">
        <f>IF(Avoine!G23="",'Intermédiaire_Prod-Résultats'!BI22,Avoine!G23)</f>
        <v>85.41</v>
      </c>
      <c r="BL22" s="3">
        <f>'Blé_d''automne'!E23</f>
        <v>95.61</v>
      </c>
      <c r="BM22" s="3">
        <f>IF('Blé_d''automne'!G23="",'Intermédiaire_Prod-Résultats'!BL22,'Blé_d''automne'!G23)</f>
        <v>95.61</v>
      </c>
      <c r="BO22" s="3">
        <f>Blé_printemps!E23</f>
        <v>95.61</v>
      </c>
      <c r="BP22" s="3">
        <f>IF(Blé_printemps!G23="",'Intermédiaire_Prod-Résultats'!BO22,Blé_printemps!G23)</f>
        <v>95.61</v>
      </c>
      <c r="BR22" s="3">
        <f>Seigle!E23</f>
        <v>93.52</v>
      </c>
      <c r="BS22" s="3">
        <f>IF(Seigle!G23="",'Intermédiaire_Prod-Résultats'!BR22,Seigle!G23)</f>
        <v>93.52</v>
      </c>
      <c r="BU22" s="3">
        <f>Seigle_hybride!E23</f>
        <v>93.52</v>
      </c>
      <c r="BV22" s="3">
        <f>IF(Seigle_hybride!G23="",'Intermédiaire_Prod-Résultats'!BU22,Seigle_hybride!G23)</f>
        <v>93.52</v>
      </c>
    </row>
    <row r="23" spans="1:74" x14ac:dyDescent="0.25">
      <c r="A23" t="s">
        <v>16</v>
      </c>
      <c r="D23" s="3">
        <f>'Maïs-grain'!E24+Saisies!B67</f>
        <v>71.98</v>
      </c>
      <c r="E23" s="3">
        <f>IF('Maïs-grain'!G24="",'Intermédiaire_Prod-Résultats'!D23,'Maïs-grain'!G24)+IF(Saisies!C67="",Saisies!B67,Saisies!C67)</f>
        <v>71.98</v>
      </c>
      <c r="G23" s="3">
        <f>Soya!E24</f>
        <v>49.43</v>
      </c>
      <c r="H23" s="3">
        <f>IF(Soya!G24="",'Intermédiaire_Prod-Résultats'!G23,Soya!G24)</f>
        <v>49.43</v>
      </c>
      <c r="J23" s="3">
        <f>Orge!E24</f>
        <v>117.74</v>
      </c>
      <c r="K23" s="3">
        <f>IF(Orge!G24="",'Intermédiaire_Prod-Résultats'!J23,Orge!G24)</f>
        <v>117.74</v>
      </c>
      <c r="M23" s="3">
        <f>Avoine!E24</f>
        <v>194.85</v>
      </c>
      <c r="N23" s="3">
        <f>IF(Avoine!G24="",'Intermédiaire_Prod-Résultats'!M23,Avoine!G24)</f>
        <v>194.85</v>
      </c>
      <c r="P23" s="3">
        <f>'Blé_d''automne'!E24</f>
        <v>141.16</v>
      </c>
      <c r="Q23" s="3">
        <f>IF('Blé_d''automne'!G24="",'Intermédiaire_Prod-Résultats'!P23,'Blé_d''automne'!G24)</f>
        <v>141.16</v>
      </c>
      <c r="S23" s="3">
        <f>Blé_printemps!E24</f>
        <v>141.16</v>
      </c>
      <c r="T23" s="3">
        <f>IF(Blé_printemps!G24="",'Intermédiaire_Prod-Résultats'!S23,Blé_printemps!G24)</f>
        <v>141.16</v>
      </c>
      <c r="V23" s="3">
        <f>Seigle!E24</f>
        <v>77.239999999999995</v>
      </c>
      <c r="W23" s="3">
        <f>IF(Seigle!G24="",'Intermédiaire_Prod-Résultats'!V23,Seigle!G24)</f>
        <v>77.239999999999995</v>
      </c>
      <c r="Y23" s="3">
        <f>Seigle_hybride!E24</f>
        <v>77.239999999999995</v>
      </c>
      <c r="Z23" s="3">
        <f>IF(Seigle_hybride!G24="",'Intermédiaire_Prod-Résultats'!Y23,Seigle_hybride!G24)</f>
        <v>77.239999999999995</v>
      </c>
      <c r="AA23" s="37"/>
      <c r="AB23" s="34">
        <f>'Maïs-grain'!E24+Saisies!B67</f>
        <v>71.98</v>
      </c>
      <c r="AC23" s="3">
        <f>IF('Maïs-grain'!G24="",'Intermédiaire_Prod-Résultats'!AB23,'Maïs-grain'!G24)+IF(Saisies!C67="",Saisies!B67,Saisies!C67)</f>
        <v>71.98</v>
      </c>
      <c r="AE23" s="3">
        <f>Soya!E24</f>
        <v>49.43</v>
      </c>
      <c r="AF23" s="3">
        <f>IF(Soya!G24="",'Intermédiaire_Prod-Résultats'!AE23,Soya!G24)</f>
        <v>49.43</v>
      </c>
      <c r="AH23" s="3">
        <f>Orge!E24</f>
        <v>117.74</v>
      </c>
      <c r="AI23" s="3">
        <f>IF(Orge!G24="",'Intermédiaire_Prod-Résultats'!AH23,Orge!G24)</f>
        <v>117.74</v>
      </c>
      <c r="AK23" s="3">
        <f>Avoine!E24</f>
        <v>194.85</v>
      </c>
      <c r="AL23" s="3">
        <f>IF(Avoine!G24="",'Intermédiaire_Prod-Résultats'!AK23,Avoine!G24)</f>
        <v>194.85</v>
      </c>
      <c r="AN23" s="3">
        <f>'Blé_d''automne'!E24</f>
        <v>141.16</v>
      </c>
      <c r="AO23" s="3">
        <f>IF('Blé_d''automne'!G24="",'Intermédiaire_Prod-Résultats'!AN23,'Blé_d''automne'!G24)</f>
        <v>141.16</v>
      </c>
      <c r="AQ23" s="3">
        <f>Blé_printemps!E24</f>
        <v>141.16</v>
      </c>
      <c r="AR23" s="3">
        <f>IF(Blé_printemps!G24="",'Intermédiaire_Prod-Résultats'!AQ23,Blé_printemps!G24)</f>
        <v>141.16</v>
      </c>
      <c r="AT23" s="3">
        <f>Seigle!E24</f>
        <v>77.239999999999995</v>
      </c>
      <c r="AU23" s="3">
        <f>IF(Seigle!G24="",'Intermédiaire_Prod-Résultats'!AT23,Seigle!G24)</f>
        <v>77.239999999999995</v>
      </c>
      <c r="AW23" s="3">
        <f>Seigle_hybride!E24</f>
        <v>77.239999999999995</v>
      </c>
      <c r="AX23" s="3">
        <f>IF(Seigle_hybride!G24="",'Intermédiaire_Prod-Résultats'!AW23,Seigle_hybride!G24)</f>
        <v>77.239999999999995</v>
      </c>
      <c r="AY23" s="37"/>
      <c r="AZ23" s="34">
        <f>'Maïs-grain'!E24+Saisies!B67</f>
        <v>71.98</v>
      </c>
      <c r="BA23" s="3">
        <f>IF('Maïs-grain'!G24="",'Intermédiaire_Prod-Résultats'!AZ23,'Maïs-grain'!G24)+IF(Saisies!C67="",Saisies!B67,Saisies!C67)</f>
        <v>71.98</v>
      </c>
      <c r="BC23" s="3">
        <f>Soya!E24</f>
        <v>49.43</v>
      </c>
      <c r="BD23" s="3">
        <f>IF(Soya!G24="",'Intermédiaire_Prod-Résultats'!BC23,Soya!G24)</f>
        <v>49.43</v>
      </c>
      <c r="BF23" s="3">
        <f>Orge!E24</f>
        <v>117.74</v>
      </c>
      <c r="BG23" s="3">
        <f>IF(Orge!G24="",'Intermédiaire_Prod-Résultats'!BF23,Orge!G24)</f>
        <v>117.74</v>
      </c>
      <c r="BI23" s="3">
        <f>Avoine!E24</f>
        <v>194.85</v>
      </c>
      <c r="BJ23" s="3">
        <f>IF(Avoine!G24="",'Intermédiaire_Prod-Résultats'!BI23,Avoine!G24)</f>
        <v>194.85</v>
      </c>
      <c r="BL23" s="3">
        <f>'Blé_d''automne'!E24</f>
        <v>141.16</v>
      </c>
      <c r="BM23" s="3">
        <f>IF('Blé_d''automne'!G24="",'Intermédiaire_Prod-Résultats'!BL23,'Blé_d''automne'!G24)</f>
        <v>141.16</v>
      </c>
      <c r="BO23" s="3">
        <f>Blé_printemps!E24</f>
        <v>141.16</v>
      </c>
      <c r="BP23" s="3">
        <f>IF(Blé_printemps!G24="",'Intermédiaire_Prod-Résultats'!BO23,Blé_printemps!G24)</f>
        <v>141.16</v>
      </c>
      <c r="BR23" s="3">
        <f>Seigle!E24</f>
        <v>77.239999999999995</v>
      </c>
      <c r="BS23" s="3">
        <f>IF(Seigle!G24="",'Intermédiaire_Prod-Résultats'!BR23,Seigle!G24)</f>
        <v>77.239999999999995</v>
      </c>
      <c r="BU23" s="3">
        <f>Seigle_hybride!E24</f>
        <v>77.239999999999995</v>
      </c>
      <c r="BV23" s="3">
        <f>IF(Seigle_hybride!G24="",'Intermédiaire_Prod-Résultats'!BU23,Seigle_hybride!G24)</f>
        <v>77.239999999999995</v>
      </c>
    </row>
    <row r="24" spans="1:74" x14ac:dyDescent="0.25">
      <c r="B24" s="1"/>
      <c r="D24" s="6">
        <f>SUM(D15:D23)</f>
        <v>1735.69</v>
      </c>
      <c r="E24" s="6">
        <f>SUM(E15:E23)</f>
        <v>1735.69</v>
      </c>
      <c r="G24" s="6">
        <f>SUM(G15:G23)</f>
        <v>1054.42</v>
      </c>
      <c r="H24" s="6">
        <f>SUM(H15:H23)</f>
        <v>1054.42</v>
      </c>
      <c r="J24" s="6">
        <f>SUM(J15:J23)</f>
        <v>1247.82</v>
      </c>
      <c r="K24" s="6">
        <f>SUM(K15:K23)</f>
        <v>1247.82</v>
      </c>
      <c r="M24" s="6">
        <f>SUM(M15:M23)</f>
        <v>1153.53</v>
      </c>
      <c r="N24" s="6">
        <f>SUM(N15:N23)</f>
        <v>1153.53</v>
      </c>
      <c r="P24" s="6">
        <f>SUM(P15:P23)</f>
        <v>1106.2791</v>
      </c>
      <c r="Q24" s="6">
        <f>SUM(Q15:Q23)</f>
        <v>1106.2791</v>
      </c>
      <c r="S24" s="6">
        <f>SUM(S15:S23)</f>
        <v>1122.51</v>
      </c>
      <c r="T24" s="6">
        <f>SUM(T15:T23)</f>
        <v>1122.51</v>
      </c>
      <c r="V24" s="6">
        <f>SUM(V15:V23)</f>
        <v>926.90000000000009</v>
      </c>
      <c r="W24" s="6">
        <f>SUM(W15:W23)</f>
        <v>926.90000000000009</v>
      </c>
      <c r="Y24" s="6">
        <f>SUM(Y15:Y23)</f>
        <v>1060.21</v>
      </c>
      <c r="Z24" s="6">
        <f>SUM(Z15:Z23)</f>
        <v>1060.21</v>
      </c>
      <c r="AA24" s="37"/>
      <c r="AB24" s="6">
        <f>SUM(AB15:AB23)</f>
        <v>1700.69</v>
      </c>
      <c r="AC24" s="6">
        <f>SUM(AC15:AC23)</f>
        <v>1700.69</v>
      </c>
      <c r="AE24" s="6">
        <f>SUM(AE15:AE23)</f>
        <v>1054.42</v>
      </c>
      <c r="AF24" s="6">
        <f>SUM(AF15:AF23)</f>
        <v>1054.42</v>
      </c>
      <c r="AH24" s="6">
        <f>SUM(AH15:AH23)</f>
        <v>1247.82</v>
      </c>
      <c r="AI24" s="6">
        <f>SUM(AI15:AI23)</f>
        <v>1247.82</v>
      </c>
      <c r="AK24" s="6">
        <f>SUM(AK15:AK23)</f>
        <v>1153.53</v>
      </c>
      <c r="AL24" s="6">
        <f>SUM(AL15:AL23)</f>
        <v>1153.53</v>
      </c>
      <c r="AN24" s="6">
        <f>SUM(AN15:AN23)</f>
        <v>1106.2791</v>
      </c>
      <c r="AO24" s="6">
        <f>SUM(AO15:AO23)</f>
        <v>1106.2791</v>
      </c>
      <c r="AQ24" s="6">
        <f>SUM(AQ15:AQ23)</f>
        <v>1122.51</v>
      </c>
      <c r="AR24" s="6">
        <f>SUM(AR15:AR23)</f>
        <v>1122.51</v>
      </c>
      <c r="AT24" s="6">
        <f>SUM(AT15:AT23)</f>
        <v>926.90000000000009</v>
      </c>
      <c r="AU24" s="6">
        <f>SUM(AU15:AU23)</f>
        <v>926.90000000000009</v>
      </c>
      <c r="AW24" s="6">
        <f>SUM(AW15:AW23)</f>
        <v>1060.21</v>
      </c>
      <c r="AX24" s="6">
        <f>SUM(AX15:AX23)</f>
        <v>1060.21</v>
      </c>
      <c r="AY24" s="37"/>
      <c r="AZ24" s="6">
        <f>SUM(AZ15:AZ23)</f>
        <v>1665.69</v>
      </c>
      <c r="BA24" s="6">
        <f>SUM(BA15:BA23)</f>
        <v>1665.69</v>
      </c>
      <c r="BC24" s="6">
        <f>SUM(BC15:BC23)</f>
        <v>1054.42</v>
      </c>
      <c r="BD24" s="6">
        <f>SUM(BD15:BD23)</f>
        <v>1054.42</v>
      </c>
      <c r="BF24" s="6">
        <f>SUM(BF15:BF23)</f>
        <v>1247.82</v>
      </c>
      <c r="BG24" s="6">
        <f>SUM(BG15:BG23)</f>
        <v>1247.82</v>
      </c>
      <c r="BI24" s="6">
        <f>SUM(BI15:BI23)</f>
        <v>1153.53</v>
      </c>
      <c r="BJ24" s="6">
        <f>SUM(BJ15:BJ23)</f>
        <v>1153.53</v>
      </c>
      <c r="BL24" s="6">
        <f>SUM(BL15:BL23)</f>
        <v>1106.2791</v>
      </c>
      <c r="BM24" s="6">
        <f>SUM(BM15:BM23)</f>
        <v>1106.2791</v>
      </c>
      <c r="BO24" s="6">
        <f>SUM(BO15:BO23)</f>
        <v>1122.51</v>
      </c>
      <c r="BP24" s="6">
        <f>SUM(BP15:BP23)</f>
        <v>1122.51</v>
      </c>
      <c r="BR24" s="6">
        <f>SUM(BR15:BR23)</f>
        <v>926.90000000000009</v>
      </c>
      <c r="BS24" s="6">
        <f>SUM(BS15:BS23)</f>
        <v>926.90000000000009</v>
      </c>
      <c r="BU24" s="6">
        <f>SUM(BU15:BU23)</f>
        <v>1060.21</v>
      </c>
      <c r="BV24" s="6">
        <f>SUM(BV15:BV23)</f>
        <v>1060.21</v>
      </c>
    </row>
    <row r="25" spans="1:74" ht="36.950000000000003" customHeight="1" x14ac:dyDescent="0.25">
      <c r="A25" s="86" t="s">
        <v>38</v>
      </c>
      <c r="B25" s="86"/>
      <c r="C25" s="86"/>
      <c r="D25" s="6">
        <f>D10-D24</f>
        <v>2147.14356</v>
      </c>
      <c r="E25" s="6">
        <f>E10-E24</f>
        <v>2147.14356</v>
      </c>
      <c r="G25" s="6">
        <f>G10-G24</f>
        <v>1755.6</v>
      </c>
      <c r="H25" s="6">
        <f>H10-H24</f>
        <v>1755.6</v>
      </c>
      <c r="J25" s="6">
        <f>J10-J24</f>
        <v>644.31000000000017</v>
      </c>
      <c r="K25" s="6">
        <f>K10-K24</f>
        <v>644.31000000000017</v>
      </c>
      <c r="M25" s="6">
        <f>M10-M24</f>
        <v>-56.169999999999845</v>
      </c>
      <c r="N25" s="6">
        <f>N10-N24</f>
        <v>-56.169999999999845</v>
      </c>
      <c r="P25" s="6">
        <f>P10-P24</f>
        <v>820.8608999999999</v>
      </c>
      <c r="Q25" s="6">
        <f>Q10-Q24</f>
        <v>820.8608999999999</v>
      </c>
      <c r="S25" s="6">
        <f>S10-S24</f>
        <v>348.78999999999996</v>
      </c>
      <c r="T25" s="6">
        <f>T10-T24</f>
        <v>348.78999999999996</v>
      </c>
      <c r="V25" s="6">
        <f>V10-V24</f>
        <v>329.62591999999995</v>
      </c>
      <c r="W25" s="6">
        <f>W10-W24</f>
        <v>329.62591999999995</v>
      </c>
      <c r="Y25" s="6">
        <f>Y10-Y24</f>
        <v>1140.7518399999999</v>
      </c>
      <c r="Z25" s="6">
        <f>Z10-Z24</f>
        <v>1140.7518399999999</v>
      </c>
      <c r="AA25" s="37"/>
      <c r="AB25" s="6">
        <f>AB10-AB24</f>
        <v>2182.14356</v>
      </c>
      <c r="AC25" s="6">
        <f>AC10-AC24</f>
        <v>2182.14356</v>
      </c>
      <c r="AE25" s="6">
        <f>AE10-AE24</f>
        <v>1755.6</v>
      </c>
      <c r="AF25" s="6">
        <f>AF10-AF24</f>
        <v>1755.6</v>
      </c>
      <c r="AH25" s="6">
        <f>AH10-AH24</f>
        <v>644.31000000000017</v>
      </c>
      <c r="AI25" s="6">
        <f>AI10-AI24</f>
        <v>644.31000000000017</v>
      </c>
      <c r="AK25" s="6">
        <f>AK10-AK24</f>
        <v>-56.169999999999845</v>
      </c>
      <c r="AL25" s="6">
        <f>AL10-AL24</f>
        <v>-56.169999999999845</v>
      </c>
      <c r="AN25" s="6">
        <f>AN10-AN24</f>
        <v>820.8608999999999</v>
      </c>
      <c r="AO25" s="6">
        <f>AO10-AO24</f>
        <v>820.8608999999999</v>
      </c>
      <c r="AQ25" s="6">
        <f>AQ10-AQ24</f>
        <v>348.78999999999996</v>
      </c>
      <c r="AR25" s="6">
        <f>AR10-AR24</f>
        <v>348.78999999999996</v>
      </c>
      <c r="AT25" s="6">
        <f>AT10-AT24</f>
        <v>329.62591999999995</v>
      </c>
      <c r="AU25" s="6">
        <f>AU10-AU24</f>
        <v>329.62591999999995</v>
      </c>
      <c r="AW25" s="6">
        <f>AW10-AW24</f>
        <v>1140.7518399999999</v>
      </c>
      <c r="AX25" s="6">
        <f>AX10-AX24</f>
        <v>1140.7518399999999</v>
      </c>
      <c r="AY25" s="37"/>
      <c r="AZ25" s="6">
        <f>AZ10-AZ24</f>
        <v>2217.14356</v>
      </c>
      <c r="BA25" s="6">
        <f>BA10-BA24</f>
        <v>2217.14356</v>
      </c>
      <c r="BC25" s="6">
        <f>BC10-BC24</f>
        <v>1755.6</v>
      </c>
      <c r="BD25" s="6">
        <f>BD10-BD24</f>
        <v>1755.6</v>
      </c>
      <c r="BF25" s="6">
        <f>BF10-BF24</f>
        <v>644.31000000000017</v>
      </c>
      <c r="BG25" s="6">
        <f>BG10-BG24</f>
        <v>644.31000000000017</v>
      </c>
      <c r="BI25" s="6">
        <f>BI10-BI24</f>
        <v>-56.169999999999845</v>
      </c>
      <c r="BJ25" s="6">
        <f>BJ10-BJ24</f>
        <v>-56.169999999999845</v>
      </c>
      <c r="BL25" s="6">
        <f>BL10-BL24</f>
        <v>820.8608999999999</v>
      </c>
      <c r="BM25" s="6">
        <f>BM10-BM24</f>
        <v>820.8608999999999</v>
      </c>
      <c r="BO25" s="6">
        <f>BO10-BO24</f>
        <v>348.78999999999996</v>
      </c>
      <c r="BP25" s="6">
        <f>BP10-BP24</f>
        <v>348.78999999999996</v>
      </c>
      <c r="BR25" s="6">
        <f>BR10-BR24</f>
        <v>329.62591999999995</v>
      </c>
      <c r="BS25" s="6">
        <f>BS10-BS24</f>
        <v>329.62591999999995</v>
      </c>
      <c r="BU25" s="6">
        <f>BU10-BU24</f>
        <v>1140.7518399999999</v>
      </c>
      <c r="BV25" s="6">
        <f>BV10-BV24</f>
        <v>1140.7518399999999</v>
      </c>
    </row>
    <row r="26" spans="1:74" x14ac:dyDescent="0.25">
      <c r="D26" s="3"/>
      <c r="E26" s="3"/>
      <c r="G26" s="3"/>
      <c r="H26" s="3"/>
      <c r="J26" s="3"/>
      <c r="K26" s="3"/>
      <c r="M26" s="3"/>
      <c r="N26" s="3"/>
      <c r="P26" s="3"/>
      <c r="Q26" s="3"/>
      <c r="S26" s="3"/>
      <c r="T26" s="3"/>
      <c r="V26" s="3"/>
      <c r="W26" s="3"/>
      <c r="Y26" s="3"/>
      <c r="Z26" s="3"/>
      <c r="AA26" s="37"/>
      <c r="AB26" s="34"/>
      <c r="AC26" s="3"/>
      <c r="AE26" s="3"/>
      <c r="AF26" s="3"/>
      <c r="AH26" s="3"/>
      <c r="AI26" s="3"/>
      <c r="AK26" s="3"/>
      <c r="AL26" s="3"/>
      <c r="AN26" s="3"/>
      <c r="AO26" s="3"/>
      <c r="AQ26" s="3"/>
      <c r="AR26" s="3"/>
      <c r="AT26" s="3"/>
      <c r="AU26" s="3"/>
      <c r="AW26" s="3"/>
      <c r="AX26" s="3"/>
      <c r="AY26" s="37"/>
      <c r="AZ26" s="34"/>
      <c r="BA26" s="3"/>
      <c r="BC26" s="3"/>
      <c r="BD26" s="3"/>
      <c r="BF26" s="3"/>
      <c r="BG26" s="3"/>
      <c r="BI26" s="3"/>
      <c r="BJ26" s="3"/>
      <c r="BL26" s="3"/>
      <c r="BM26" s="3"/>
      <c r="BO26" s="3"/>
      <c r="BP26" s="3"/>
      <c r="BR26" s="3"/>
      <c r="BS26" s="3"/>
      <c r="BU26" s="3"/>
      <c r="BV26" s="3"/>
    </row>
    <row r="27" spans="1:74" x14ac:dyDescent="0.25">
      <c r="Z27" s="45"/>
      <c r="AA27" s="37"/>
      <c r="AB27" s="33"/>
      <c r="AX27" s="45"/>
      <c r="AY27" s="37"/>
      <c r="AZ27" s="33"/>
    </row>
    <row r="28" spans="1:74" x14ac:dyDescent="0.25">
      <c r="A28" s="8" t="s">
        <v>144</v>
      </c>
      <c r="Z28" s="45"/>
      <c r="AA28" s="37"/>
      <c r="AB28" s="33"/>
      <c r="AX28" s="45"/>
      <c r="AY28" s="37"/>
      <c r="AZ28" s="33"/>
    </row>
    <row r="29" spans="1:74" x14ac:dyDescent="0.25">
      <c r="A29" t="s">
        <v>19</v>
      </c>
      <c r="B29" s="1"/>
      <c r="D29" s="3">
        <f>'Maïs-grain'!E30</f>
        <v>363.27</v>
      </c>
      <c r="E29" s="3">
        <f>IF('Maïs-grain'!G30="",'Intermédiaire_Prod-Résultats'!D29,'Maïs-grain'!G30)</f>
        <v>363.27</v>
      </c>
      <c r="G29" s="3">
        <f>Soya!E30</f>
        <v>283.18</v>
      </c>
      <c r="H29" s="3">
        <f>IF(Soya!G30="",'Intermédiaire_Prod-Résultats'!G29,Soya!G30)</f>
        <v>283.18</v>
      </c>
      <c r="J29" s="3">
        <f>Orge!E30</f>
        <v>229.13</v>
      </c>
      <c r="K29" s="3">
        <f>IF(Orge!G30="",'Intermédiaire_Prod-Résultats'!J29,Orge!G30)</f>
        <v>229.13</v>
      </c>
      <c r="M29" s="3">
        <f>Avoine!E30</f>
        <v>170.27</v>
      </c>
      <c r="N29" s="3">
        <f>IF(Avoine!G30="",'Intermédiaire_Prod-Résultats'!M29,Avoine!G30)</f>
        <v>170.27</v>
      </c>
      <c r="P29" s="3">
        <f>'Blé_d''automne'!E30</f>
        <v>256.24</v>
      </c>
      <c r="Q29" s="3">
        <f>IF('Blé_d''automne'!G30="",'Intermédiaire_Prod-Résultats'!P29,'Blé_d''automne'!G30)</f>
        <v>256.24</v>
      </c>
      <c r="S29" s="3">
        <f>Blé_printemps!E30</f>
        <v>256.24</v>
      </c>
      <c r="T29" s="3">
        <f>IF(Blé_printemps!G30="",'Intermédiaire_Prod-Résultats'!S29,Blé_printemps!G30)</f>
        <v>256.24</v>
      </c>
      <c r="V29" s="3">
        <f>Seigle!E30</f>
        <v>254.5</v>
      </c>
      <c r="W29" s="3">
        <f>IF(Seigle!G30="",'Intermédiaire_Prod-Résultats'!V29,Seigle!G30)</f>
        <v>254.5</v>
      </c>
      <c r="Y29" s="3">
        <f>Seigle_hybride!E30</f>
        <v>254.5</v>
      </c>
      <c r="Z29" s="3">
        <f>IF(Seigle_hybride!G30="",'Intermédiaire_Prod-Résultats'!Y29,Seigle_hybride!G30)</f>
        <v>254.5</v>
      </c>
      <c r="AA29" s="37"/>
      <c r="AB29" s="34">
        <f>'Maïs-grain'!E30</f>
        <v>363.27</v>
      </c>
      <c r="AC29" s="3">
        <f>IF('Maïs-grain'!G30="",'Intermédiaire_Prod-Résultats'!AB29,'Maïs-grain'!G30)</f>
        <v>363.27</v>
      </c>
      <c r="AE29" s="3">
        <f>Soya!E30</f>
        <v>283.18</v>
      </c>
      <c r="AF29" s="3">
        <f>IF(Soya!G30="",'Intermédiaire_Prod-Résultats'!AE29,Soya!G30)</f>
        <v>283.18</v>
      </c>
      <c r="AH29" s="3">
        <f>Orge!E30</f>
        <v>229.13</v>
      </c>
      <c r="AI29" s="3">
        <f>IF(Orge!G30="",'Intermédiaire_Prod-Résultats'!AH29,Orge!G30)</f>
        <v>229.13</v>
      </c>
      <c r="AK29" s="3">
        <f>Avoine!E30</f>
        <v>170.27</v>
      </c>
      <c r="AL29" s="3">
        <f>IF(Avoine!G30="",'Intermédiaire_Prod-Résultats'!AK29,Avoine!G30)</f>
        <v>170.27</v>
      </c>
      <c r="AN29" s="3">
        <f>'Blé_d''automne'!E30</f>
        <v>256.24</v>
      </c>
      <c r="AO29" s="3">
        <f>IF('Blé_d''automne'!G30="",'Intermédiaire_Prod-Résultats'!AN29,'Blé_d''automne'!G30)</f>
        <v>256.24</v>
      </c>
      <c r="AQ29" s="3">
        <f>Blé_printemps!E30</f>
        <v>256.24</v>
      </c>
      <c r="AR29" s="3">
        <f>IF(Blé_printemps!G30="",'Intermédiaire_Prod-Résultats'!AQ29,Blé_printemps!G30)</f>
        <v>256.24</v>
      </c>
      <c r="AT29" s="3">
        <f>Seigle!E30</f>
        <v>254.5</v>
      </c>
      <c r="AU29" s="3">
        <f>IF(Seigle!G30="",'Intermédiaire_Prod-Résultats'!AT29,Seigle!G30)</f>
        <v>254.5</v>
      </c>
      <c r="AW29" s="3">
        <f>Seigle_hybride!E30</f>
        <v>254.5</v>
      </c>
      <c r="AX29" s="3">
        <f>IF(Seigle_hybride!G30="",'Intermédiaire_Prod-Résultats'!AW29,Seigle_hybride!G30)</f>
        <v>254.5</v>
      </c>
      <c r="AY29" s="37"/>
      <c r="AZ29" s="34">
        <f>'Maïs-grain'!E30</f>
        <v>363.27</v>
      </c>
      <c r="BA29" s="3">
        <f>IF('Maïs-grain'!G30="",'Intermédiaire_Prod-Résultats'!AZ29,'Maïs-grain'!G30)</f>
        <v>363.27</v>
      </c>
      <c r="BC29" s="3">
        <f>Soya!E30</f>
        <v>283.18</v>
      </c>
      <c r="BD29" s="3">
        <f>IF(Soya!G30="",'Intermédiaire_Prod-Résultats'!BC29,Soya!G30)</f>
        <v>283.18</v>
      </c>
      <c r="BF29" s="3">
        <f>Orge!E30</f>
        <v>229.13</v>
      </c>
      <c r="BG29" s="3">
        <f>IF(Orge!G30="",'Intermédiaire_Prod-Résultats'!BF29,Orge!G30)</f>
        <v>229.13</v>
      </c>
      <c r="BI29" s="3">
        <f>Avoine!E30</f>
        <v>170.27</v>
      </c>
      <c r="BJ29" s="3">
        <f>IF(Avoine!G30="",'Intermédiaire_Prod-Résultats'!BI29,Avoine!G30)</f>
        <v>170.27</v>
      </c>
      <c r="BL29" s="3">
        <f>'Blé_d''automne'!E30</f>
        <v>256.24</v>
      </c>
      <c r="BM29" s="3">
        <f>IF('Blé_d''automne'!G30="",'Intermédiaire_Prod-Résultats'!BL29,'Blé_d''automne'!G30)</f>
        <v>256.24</v>
      </c>
      <c r="BO29" s="3">
        <f>Blé_printemps!E30</f>
        <v>256.24</v>
      </c>
      <c r="BP29" s="3">
        <f>IF(Blé_printemps!G30="",'Intermédiaire_Prod-Résultats'!BO29,Blé_printemps!G30)</f>
        <v>256.24</v>
      </c>
      <c r="BR29" s="3">
        <f>Seigle!E30</f>
        <v>254.5</v>
      </c>
      <c r="BS29" s="3">
        <f>IF(Seigle!G30="",'Intermédiaire_Prod-Résultats'!BR29,Seigle!G30)</f>
        <v>254.5</v>
      </c>
      <c r="BU29" s="3">
        <f>Seigle_hybride!E30</f>
        <v>254.5</v>
      </c>
      <c r="BV29" s="3">
        <f>IF(Seigle_hybride!G30="",'Intermédiaire_Prod-Résultats'!BU29,Seigle_hybride!G30)</f>
        <v>254.5</v>
      </c>
    </row>
    <row r="30" spans="1:74" x14ac:dyDescent="0.25">
      <c r="A30" t="s">
        <v>20</v>
      </c>
      <c r="D30" s="3">
        <f>'Maïs-grain'!E31</f>
        <v>506.44</v>
      </c>
      <c r="E30" s="3">
        <f>IF('Maïs-grain'!G31="",'Intermédiaire_Prod-Résultats'!D30,'Maïs-grain'!G31)</f>
        <v>506.44</v>
      </c>
      <c r="G30" s="3">
        <f>Soya!E31</f>
        <v>413.24</v>
      </c>
      <c r="H30" s="3">
        <f>IF(Soya!G31="",'Intermédiaire_Prod-Résultats'!G30,Soya!G31)</f>
        <v>413.24</v>
      </c>
      <c r="J30" s="3">
        <f>Orge!E31</f>
        <v>385.78</v>
      </c>
      <c r="K30" s="3">
        <f>IF(Orge!G31="",'Intermédiaire_Prod-Résultats'!J30,Orge!G31)</f>
        <v>385.78</v>
      </c>
      <c r="M30" s="3">
        <f>Avoine!E31</f>
        <v>346.94</v>
      </c>
      <c r="N30" s="3">
        <f>IF(Avoine!G31="",'Intermédiaire_Prod-Résultats'!M30,Avoine!G31)</f>
        <v>346.94</v>
      </c>
      <c r="P30" s="3">
        <f>'Blé_d''automne'!E31</f>
        <v>356.22</v>
      </c>
      <c r="Q30" s="3">
        <f>IF('Blé_d''automne'!G31="",'Intermédiaire_Prod-Résultats'!P30,'Blé_d''automne'!G31)</f>
        <v>356.22</v>
      </c>
      <c r="S30" s="3">
        <f>Blé_printemps!E31</f>
        <v>356.22</v>
      </c>
      <c r="T30" s="3">
        <f>IF(Blé_printemps!G31="",'Intermédiaire_Prod-Résultats'!S30,Blé_printemps!G31)</f>
        <v>356.22</v>
      </c>
      <c r="V30" s="3">
        <f>Seigle!E31</f>
        <v>324.72000000000003</v>
      </c>
      <c r="W30" s="3">
        <f>IF(Seigle!G31="",'Intermédiaire_Prod-Résultats'!V30,Seigle!G31)</f>
        <v>324.72000000000003</v>
      </c>
      <c r="Y30" s="3">
        <f>Seigle_hybride!E31</f>
        <v>324.72000000000003</v>
      </c>
      <c r="Z30" s="3">
        <f>IF(Seigle_hybride!G31="",'Intermédiaire_Prod-Résultats'!Y30,Seigle_hybride!G31)</f>
        <v>324.72000000000003</v>
      </c>
      <c r="AA30" s="37"/>
      <c r="AB30" s="34">
        <f>'Maïs-grain'!E31</f>
        <v>506.44</v>
      </c>
      <c r="AC30" s="3">
        <f>IF('Maïs-grain'!G31="",'Intermédiaire_Prod-Résultats'!AB30,'Maïs-grain'!G31)</f>
        <v>506.44</v>
      </c>
      <c r="AE30" s="3">
        <f>Soya!E31</f>
        <v>413.24</v>
      </c>
      <c r="AF30" s="3">
        <f>IF(Soya!G31="",'Intermédiaire_Prod-Résultats'!AE30,Soya!G31)</f>
        <v>413.24</v>
      </c>
      <c r="AH30" s="3">
        <f>Orge!E31</f>
        <v>385.78</v>
      </c>
      <c r="AI30" s="3">
        <f>IF(Orge!G31="",'Intermédiaire_Prod-Résultats'!AH30,Orge!G31)</f>
        <v>385.78</v>
      </c>
      <c r="AK30" s="3">
        <f>Avoine!E31</f>
        <v>346.94</v>
      </c>
      <c r="AL30" s="3">
        <f>IF(Avoine!G31="",'Intermédiaire_Prod-Résultats'!AK30,Avoine!G31)</f>
        <v>346.94</v>
      </c>
      <c r="AN30" s="3">
        <f>'Blé_d''automne'!E31</f>
        <v>356.22</v>
      </c>
      <c r="AO30" s="3">
        <f>IF('Blé_d''automne'!G31="",'Intermédiaire_Prod-Résultats'!AN30,'Blé_d''automne'!G31)</f>
        <v>356.22</v>
      </c>
      <c r="AQ30" s="3">
        <f>Blé_printemps!E31</f>
        <v>356.22</v>
      </c>
      <c r="AR30" s="3">
        <f>IF(Blé_printemps!G31="",'Intermédiaire_Prod-Résultats'!AQ30,Blé_printemps!G31)</f>
        <v>356.22</v>
      </c>
      <c r="AT30" s="3">
        <f>Seigle!E31</f>
        <v>324.72000000000003</v>
      </c>
      <c r="AU30" s="3">
        <f>IF(Seigle!G31="",'Intermédiaire_Prod-Résultats'!AT30,Seigle!G31)</f>
        <v>324.72000000000003</v>
      </c>
      <c r="AW30" s="3">
        <f>Seigle_hybride!E31</f>
        <v>324.72000000000003</v>
      </c>
      <c r="AX30" s="3">
        <f>IF(Seigle_hybride!G31="",'Intermédiaire_Prod-Résultats'!AW30,Seigle_hybride!G31)</f>
        <v>324.72000000000003</v>
      </c>
      <c r="AY30" s="37"/>
      <c r="AZ30" s="34">
        <f>'Maïs-grain'!E31</f>
        <v>506.44</v>
      </c>
      <c r="BA30" s="3">
        <f>IF('Maïs-grain'!G31="",'Intermédiaire_Prod-Résultats'!AZ30,'Maïs-grain'!G31)</f>
        <v>506.44</v>
      </c>
      <c r="BC30" s="3">
        <f>Soya!E31</f>
        <v>413.24</v>
      </c>
      <c r="BD30" s="3">
        <f>IF(Soya!G31="",'Intermédiaire_Prod-Résultats'!BC30,Soya!G31)</f>
        <v>413.24</v>
      </c>
      <c r="BF30" s="3">
        <f>Orge!E31</f>
        <v>385.78</v>
      </c>
      <c r="BG30" s="3">
        <f>IF(Orge!G31="",'Intermédiaire_Prod-Résultats'!BF30,Orge!G31)</f>
        <v>385.78</v>
      </c>
      <c r="BI30" s="3">
        <f>Avoine!E31</f>
        <v>346.94</v>
      </c>
      <c r="BJ30" s="3">
        <f>IF(Avoine!G31="",'Intermédiaire_Prod-Résultats'!BI30,Avoine!G31)</f>
        <v>346.94</v>
      </c>
      <c r="BL30" s="3">
        <f>'Blé_d''automne'!E31</f>
        <v>356.22</v>
      </c>
      <c r="BM30" s="3">
        <f>IF('Blé_d''automne'!G31="",'Intermédiaire_Prod-Résultats'!BL30,'Blé_d''automne'!G31)</f>
        <v>356.22</v>
      </c>
      <c r="BO30" s="3">
        <f>Blé_printemps!E31</f>
        <v>356.22</v>
      </c>
      <c r="BP30" s="3">
        <f>IF(Blé_printemps!G31="",'Intermédiaire_Prod-Résultats'!BO30,Blé_printemps!G31)</f>
        <v>356.22</v>
      </c>
      <c r="BR30" s="3">
        <f>Seigle!E31</f>
        <v>324.72000000000003</v>
      </c>
      <c r="BS30" s="3">
        <f>IF(Seigle!G31="",'Intermédiaire_Prod-Résultats'!BR30,Seigle!G31)</f>
        <v>324.72000000000003</v>
      </c>
      <c r="BU30" s="3">
        <f>Seigle_hybride!E31</f>
        <v>324.72000000000003</v>
      </c>
      <c r="BV30" s="3">
        <f>IF(Seigle_hybride!G31="",'Intermédiaire_Prod-Résultats'!BU30,Seigle_hybride!G31)</f>
        <v>324.72000000000003</v>
      </c>
    </row>
    <row r="31" spans="1:74" x14ac:dyDescent="0.25">
      <c r="D31" s="3"/>
      <c r="E31" s="3"/>
      <c r="G31" s="3"/>
      <c r="H31" s="3"/>
      <c r="J31" s="3"/>
      <c r="K31" s="3"/>
      <c r="M31" s="3"/>
      <c r="N31" s="3"/>
      <c r="P31" s="3"/>
      <c r="Q31" s="3"/>
      <c r="S31" s="3"/>
      <c r="T31" s="3"/>
      <c r="V31" s="3"/>
      <c r="W31" s="3"/>
      <c r="Y31" s="3"/>
      <c r="Z31" s="3"/>
      <c r="AA31" s="37"/>
      <c r="AB31" s="34"/>
      <c r="AC31" s="3"/>
      <c r="AE31" s="3"/>
      <c r="AF31" s="3"/>
      <c r="AH31" s="3"/>
      <c r="AI31" s="3"/>
      <c r="AK31" s="3"/>
      <c r="AL31" s="3"/>
      <c r="AN31" s="3"/>
      <c r="AO31" s="3"/>
      <c r="AQ31" s="3"/>
      <c r="AR31" s="3"/>
      <c r="AT31" s="3"/>
      <c r="AU31" s="3"/>
      <c r="AW31" s="3"/>
      <c r="AX31" s="3"/>
      <c r="AY31" s="37"/>
      <c r="AZ31" s="34"/>
      <c r="BA31" s="3"/>
      <c r="BC31" s="3"/>
      <c r="BD31" s="3"/>
      <c r="BF31" s="3"/>
      <c r="BG31" s="3"/>
      <c r="BI31" s="3"/>
      <c r="BJ31" s="3"/>
      <c r="BL31" s="3"/>
      <c r="BM31" s="3"/>
      <c r="BO31" s="3"/>
      <c r="BP31" s="3"/>
      <c r="BR31" s="3"/>
      <c r="BS31" s="3"/>
      <c r="BU31" s="3"/>
      <c r="BV31" s="3"/>
    </row>
    <row r="32" spans="1:74" ht="44.1" customHeight="1" thickBot="1" x14ac:dyDescent="0.3">
      <c r="A32" s="86" t="s">
        <v>141</v>
      </c>
      <c r="B32" s="86"/>
      <c r="C32" s="86"/>
      <c r="D32" s="7">
        <f>D25-SUM(D29:D30)</f>
        <v>1277.4335599999999</v>
      </c>
      <c r="E32" s="7">
        <f>E25-SUM(E29:E30)</f>
        <v>1277.4335599999999</v>
      </c>
      <c r="G32" s="7">
        <f>G25-SUM(G29:G30)</f>
        <v>1059.1799999999998</v>
      </c>
      <c r="H32" s="7">
        <f>H25-SUM(H29:H30)</f>
        <v>1059.1799999999998</v>
      </c>
      <c r="J32" s="7">
        <f>J25-SUM(J29:J30)</f>
        <v>29.400000000000205</v>
      </c>
      <c r="K32" s="7">
        <f>K25-SUM(K29:K30)</f>
        <v>29.400000000000205</v>
      </c>
      <c r="M32" s="7">
        <f>M25-SUM(M29:M30)</f>
        <v>-573.37999999999988</v>
      </c>
      <c r="N32" s="7">
        <f>N25-SUM(N29:N30)</f>
        <v>-573.37999999999988</v>
      </c>
      <c r="P32" s="7">
        <f>P25-SUM(P29:P30)</f>
        <v>208.40089999999987</v>
      </c>
      <c r="Q32" s="7">
        <f>Q25-SUM(Q29:Q30)</f>
        <v>208.40089999999987</v>
      </c>
      <c r="S32" s="7">
        <f>S25-SUM(S29:S30)</f>
        <v>-263.67000000000007</v>
      </c>
      <c r="T32" s="7">
        <f>T25-SUM(T29:T30)</f>
        <v>-263.67000000000007</v>
      </c>
      <c r="V32" s="7">
        <f>V25-SUM(V29:V30)</f>
        <v>-249.59408000000008</v>
      </c>
      <c r="W32" s="7">
        <f>W25-SUM(W29:W30)</f>
        <v>-249.59408000000008</v>
      </c>
      <c r="Y32" s="7">
        <f>Y25-SUM(Y29:Y30)</f>
        <v>561.53183999999987</v>
      </c>
      <c r="Z32" s="7">
        <f>Z25-SUM(Z29:Z30)</f>
        <v>561.53183999999987</v>
      </c>
      <c r="AA32" s="37"/>
      <c r="AB32" s="7">
        <f>AB25-SUM(AB29:AB30)</f>
        <v>1312.4335599999999</v>
      </c>
      <c r="AC32" s="7">
        <f>AC25-SUM(AC29:AC30)</f>
        <v>1312.4335599999999</v>
      </c>
      <c r="AE32" s="7">
        <f>AE25-SUM(AE29:AE30)</f>
        <v>1059.1799999999998</v>
      </c>
      <c r="AF32" s="7">
        <f>AF25-SUM(AF29:AF30)</f>
        <v>1059.1799999999998</v>
      </c>
      <c r="AH32" s="7">
        <f>AH25-SUM(AH29:AH30)</f>
        <v>29.400000000000205</v>
      </c>
      <c r="AI32" s="7">
        <f>AI25-SUM(AI29:AI30)</f>
        <v>29.400000000000205</v>
      </c>
      <c r="AK32" s="7">
        <f>AK25-SUM(AK29:AK30)</f>
        <v>-573.37999999999988</v>
      </c>
      <c r="AL32" s="7">
        <f>AL25-SUM(AL29:AL30)</f>
        <v>-573.37999999999988</v>
      </c>
      <c r="AN32" s="7">
        <f>AN25-SUM(AN29:AN30)</f>
        <v>208.40089999999987</v>
      </c>
      <c r="AO32" s="7">
        <f>AO25-SUM(AO29:AO30)</f>
        <v>208.40089999999987</v>
      </c>
      <c r="AQ32" s="7">
        <f>AQ25-SUM(AQ29:AQ30)</f>
        <v>-263.67000000000007</v>
      </c>
      <c r="AR32" s="7">
        <f>AR25-SUM(AR29:AR30)</f>
        <v>-263.67000000000007</v>
      </c>
      <c r="AT32" s="7">
        <f>AT25-SUM(AT29:AT30)</f>
        <v>-249.59408000000008</v>
      </c>
      <c r="AU32" s="7">
        <f>AU25-SUM(AU29:AU30)</f>
        <v>-249.59408000000008</v>
      </c>
      <c r="AW32" s="7">
        <f>AW25-SUM(AW29:AW30)</f>
        <v>561.53183999999987</v>
      </c>
      <c r="AX32" s="7">
        <f>AX25-SUM(AX29:AX30)</f>
        <v>561.53183999999987</v>
      </c>
      <c r="AY32" s="37"/>
      <c r="AZ32" s="7">
        <f>AZ25-SUM(AZ29:AZ30)</f>
        <v>1347.4335599999999</v>
      </c>
      <c r="BA32" s="7">
        <f>BA25-SUM(BA29:BA30)</f>
        <v>1347.4335599999999</v>
      </c>
      <c r="BC32" s="7">
        <f>BC25-SUM(BC29:BC30)</f>
        <v>1059.1799999999998</v>
      </c>
      <c r="BD32" s="7">
        <f>BD25-SUM(BD29:BD30)</f>
        <v>1059.1799999999998</v>
      </c>
      <c r="BF32" s="7">
        <f>BF25-SUM(BF29:BF30)</f>
        <v>29.400000000000205</v>
      </c>
      <c r="BG32" s="7">
        <f>BG25-SUM(BG29:BG30)</f>
        <v>29.400000000000205</v>
      </c>
      <c r="BI32" s="7">
        <f>BI25-SUM(BI29:BI30)</f>
        <v>-573.37999999999988</v>
      </c>
      <c r="BJ32" s="7">
        <f>BJ25-SUM(BJ29:BJ30)</f>
        <v>-573.37999999999988</v>
      </c>
      <c r="BL32" s="7">
        <f>BL25-SUM(BL29:BL30)</f>
        <v>208.40089999999987</v>
      </c>
      <c r="BM32" s="7">
        <f>BM25-SUM(BM29:BM30)</f>
        <v>208.40089999999987</v>
      </c>
      <c r="BO32" s="7">
        <f>BO25-SUM(BO29:BO30)</f>
        <v>-263.67000000000007</v>
      </c>
      <c r="BP32" s="7">
        <f>BP25-SUM(BP29:BP30)</f>
        <v>-263.67000000000007</v>
      </c>
      <c r="BR32" s="7">
        <f>BR25-SUM(BR29:BR30)</f>
        <v>-249.59408000000008</v>
      </c>
      <c r="BS32" s="7">
        <f>BS25-SUM(BS29:BS30)</f>
        <v>-249.59408000000008</v>
      </c>
      <c r="BU32" s="7">
        <f>BU25-SUM(BU29:BU30)</f>
        <v>561.53183999999987</v>
      </c>
      <c r="BV32" s="7">
        <f>BV25-SUM(BV29:BV30)</f>
        <v>561.53183999999987</v>
      </c>
    </row>
    <row r="33" ht="15.75" thickTop="1" x14ac:dyDescent="0.25"/>
  </sheetData>
  <mergeCells count="5">
    <mergeCell ref="A25:C25"/>
    <mergeCell ref="A32:C32"/>
    <mergeCell ref="D1:Z1"/>
    <mergeCell ref="AB1:AX1"/>
    <mergeCell ref="AZ1:BV1"/>
  </mergeCells>
  <pageMargins left="0.7" right="0.7" top="0.75" bottom="0.75" header="0.3" footer="0.3"/>
  <pageSetup orientation="portrait" r:id="rId1"/>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D4772F-7AA7-4AE0-B0DA-59ACDC4AD5A6}">
  <sheetPr>
    <tabColor theme="5" tint="0.79998168889431442"/>
  </sheetPr>
  <dimension ref="A1:W22"/>
  <sheetViews>
    <sheetView zoomScaleNormal="100" workbookViewId="0">
      <selection sqref="A1:K1"/>
    </sheetView>
  </sheetViews>
  <sheetFormatPr baseColWidth="10" defaultColWidth="10.85546875" defaultRowHeight="15" outlineLevelRow="1" x14ac:dyDescent="0.25"/>
  <cols>
    <col min="1" max="1" width="36.5703125" customWidth="1"/>
    <col min="2" max="10" width="10.5703125" customWidth="1"/>
    <col min="11" max="11" width="16.42578125" bestFit="1" customWidth="1"/>
    <col min="13" max="13" width="36.85546875" customWidth="1"/>
    <col min="14" max="22" width="10.5703125" customWidth="1"/>
    <col min="23" max="23" width="16.42578125" bestFit="1" customWidth="1"/>
  </cols>
  <sheetData>
    <row r="1" spans="1:23" ht="18.75" x14ac:dyDescent="0.3">
      <c r="A1" s="93" t="s">
        <v>57</v>
      </c>
      <c r="B1" s="93"/>
      <c r="C1" s="93"/>
      <c r="D1" s="93"/>
      <c r="E1" s="93"/>
      <c r="F1" s="93"/>
      <c r="G1" s="93"/>
      <c r="H1" s="93"/>
      <c r="I1" s="93"/>
      <c r="J1" s="93"/>
      <c r="K1" s="93"/>
      <c r="M1" s="90" t="s">
        <v>56</v>
      </c>
      <c r="N1" s="90"/>
      <c r="O1" s="90"/>
      <c r="P1" s="90"/>
      <c r="Q1" s="90"/>
      <c r="R1" s="90"/>
      <c r="S1" s="90"/>
      <c r="T1" s="90"/>
      <c r="U1" s="90"/>
      <c r="V1" s="90"/>
      <c r="W1" s="90"/>
    </row>
    <row r="2" spans="1:23" ht="15.75" x14ac:dyDescent="0.25">
      <c r="A2" s="94" t="s">
        <v>146</v>
      </c>
      <c r="B2" s="94"/>
      <c r="C2" s="94"/>
      <c r="D2" s="94"/>
      <c r="E2" s="94"/>
      <c r="F2" s="94"/>
      <c r="G2" s="94"/>
      <c r="H2" s="94"/>
      <c r="I2" s="94"/>
      <c r="J2" s="94"/>
      <c r="K2" s="94"/>
      <c r="M2" s="89" t="s">
        <v>146</v>
      </c>
      <c r="N2" s="89"/>
      <c r="O2" s="89"/>
      <c r="P2" s="89"/>
      <c r="Q2" s="89"/>
      <c r="R2" s="89"/>
      <c r="S2" s="89"/>
      <c r="T2" s="89"/>
      <c r="U2" s="89"/>
      <c r="V2" s="89"/>
      <c r="W2" s="89"/>
    </row>
    <row r="3" spans="1:23" ht="15.75" x14ac:dyDescent="0.25">
      <c r="A3" s="12"/>
      <c r="B3" s="97" t="s">
        <v>129</v>
      </c>
      <c r="C3" s="97"/>
      <c r="D3" s="97"/>
      <c r="E3" s="97" t="s">
        <v>130</v>
      </c>
      <c r="F3" s="97"/>
      <c r="G3" s="97"/>
      <c r="H3" s="97" t="s">
        <v>131</v>
      </c>
      <c r="I3" s="97"/>
      <c r="J3" s="97"/>
      <c r="K3" s="12"/>
      <c r="M3" s="12"/>
      <c r="N3" s="97" t="s">
        <v>129</v>
      </c>
      <c r="O3" s="97"/>
      <c r="P3" s="97"/>
      <c r="Q3" s="97" t="s">
        <v>130</v>
      </c>
      <c r="R3" s="97"/>
      <c r="S3" s="97"/>
      <c r="T3" s="97" t="s">
        <v>131</v>
      </c>
      <c r="U3" s="97"/>
      <c r="V3" s="97"/>
      <c r="W3" s="12"/>
    </row>
    <row r="4" spans="1:23" x14ac:dyDescent="0.25">
      <c r="A4" s="60" t="s">
        <v>177</v>
      </c>
      <c r="B4" s="13" t="s">
        <v>48</v>
      </c>
      <c r="C4" s="13" t="s">
        <v>49</v>
      </c>
      <c r="D4" s="13" t="s">
        <v>50</v>
      </c>
      <c r="E4" s="13" t="s">
        <v>51</v>
      </c>
      <c r="F4" s="13" t="s">
        <v>52</v>
      </c>
      <c r="G4" s="13" t="s">
        <v>53</v>
      </c>
      <c r="H4" s="13" t="s">
        <v>121</v>
      </c>
      <c r="I4" s="13" t="s">
        <v>122</v>
      </c>
      <c r="J4" s="13" t="s">
        <v>123</v>
      </c>
      <c r="K4" s="14" t="s">
        <v>55</v>
      </c>
      <c r="M4" s="62" t="s">
        <v>177</v>
      </c>
      <c r="N4" s="13" t="s">
        <v>48</v>
      </c>
      <c r="O4" s="13" t="s">
        <v>49</v>
      </c>
      <c r="P4" s="13" t="s">
        <v>50</v>
      </c>
      <c r="Q4" s="13" t="s">
        <v>51</v>
      </c>
      <c r="R4" s="13" t="s">
        <v>52</v>
      </c>
      <c r="S4" s="13" t="s">
        <v>53</v>
      </c>
      <c r="T4" s="13" t="s">
        <v>121</v>
      </c>
      <c r="U4" s="13" t="s">
        <v>122</v>
      </c>
      <c r="V4" s="13" t="s">
        <v>123</v>
      </c>
      <c r="W4" s="14" t="s">
        <v>55</v>
      </c>
    </row>
    <row r="5" spans="1:23" x14ac:dyDescent="0.25">
      <c r="A5" s="17" t="s">
        <v>158</v>
      </c>
      <c r="B5" s="15">
        <f>'Intermédiaire_Prod-Résultats'!G25</f>
        <v>1755.6</v>
      </c>
      <c r="C5" s="15">
        <f>'Intermédiaire_Prod-Résultats'!P25</f>
        <v>820.8608999999999</v>
      </c>
      <c r="D5" s="15">
        <f>'Intermédiaire_Prod-Résultats'!D25</f>
        <v>2147.14356</v>
      </c>
      <c r="E5" s="15">
        <f>'Intermédiaire_Prod-Résultats'!AE25</f>
        <v>1755.6</v>
      </c>
      <c r="F5" s="15">
        <f>'Intermédiaire_Prod-Résultats'!AN25</f>
        <v>820.8608999999999</v>
      </c>
      <c r="G5" s="35">
        <f>'Intermédiaire_Prod-Résultats'!AB25</f>
        <v>2182.14356</v>
      </c>
      <c r="H5" s="35">
        <f>'Intermédiaire_Prod-Résultats'!BC25</f>
        <v>1755.6</v>
      </c>
      <c r="I5" s="35">
        <f>'Intermédiaire_Prod-Résultats'!BL25</f>
        <v>820.8608999999999</v>
      </c>
      <c r="J5" s="38">
        <f>'Intermédiaire_Prod-Résultats'!AZ25</f>
        <v>2217.14356</v>
      </c>
      <c r="K5" s="16">
        <f t="shared" ref="K5:K10" si="0">AVERAGE(B5:I5)</f>
        <v>1507.3337275000001</v>
      </c>
      <c r="M5" s="17" t="str">
        <f t="shared" ref="M5:M10" si="1">A5</f>
        <v>SOYA-BLÉ D'AUTOMNE PANIFIABLE-MG</v>
      </c>
      <c r="N5" s="15">
        <f>'Intermédiaire_Prod-Résultats'!H25</f>
        <v>1755.6</v>
      </c>
      <c r="O5" s="15">
        <f>'Intermédiaire_Prod-Résultats'!Q25</f>
        <v>820.8608999999999</v>
      </c>
      <c r="P5" s="15">
        <f>'Intermédiaire_Prod-Résultats'!E25</f>
        <v>2147.14356</v>
      </c>
      <c r="Q5" s="15">
        <f>'Intermédiaire_Prod-Résultats'!AF25</f>
        <v>1755.6</v>
      </c>
      <c r="R5" s="15">
        <f>'Intermédiaire_Prod-Résultats'!AO25</f>
        <v>820.8608999999999</v>
      </c>
      <c r="S5" s="35">
        <f>'Intermédiaire_Prod-Résultats'!AC25</f>
        <v>2182.14356</v>
      </c>
      <c r="T5" s="35">
        <f>'Intermédiaire_Prod-Résultats'!BD25</f>
        <v>1755.6</v>
      </c>
      <c r="U5" s="35">
        <f>'Intermédiaire_Prod-Résultats'!BM25</f>
        <v>820.8608999999999</v>
      </c>
      <c r="V5" s="38">
        <f>'Intermédiaire_Prod-Résultats'!BA25</f>
        <v>2217.14356</v>
      </c>
      <c r="W5" s="16">
        <f t="shared" ref="W5:W10" si="2">AVERAGE(N5:U5)</f>
        <v>1507.3337275000001</v>
      </c>
    </row>
    <row r="6" spans="1:23" x14ac:dyDescent="0.25">
      <c r="A6" s="17" t="s">
        <v>159</v>
      </c>
      <c r="B6" s="15">
        <f>'Intermédiaire_Prod-Résultats'!G25</f>
        <v>1755.6</v>
      </c>
      <c r="C6" s="15">
        <f>'Intermédiaire_Prod-Résultats'!S25</f>
        <v>348.78999999999996</v>
      </c>
      <c r="D6" s="15">
        <f>'Intermédiaire_Prod-Résultats'!D25</f>
        <v>2147.14356</v>
      </c>
      <c r="E6" s="15">
        <f>'Intermédiaire_Prod-Résultats'!AE25</f>
        <v>1755.6</v>
      </c>
      <c r="F6" s="15">
        <f>'Intermédiaire_Prod-Résultats'!AQ25</f>
        <v>348.78999999999996</v>
      </c>
      <c r="G6" s="35">
        <f>'Intermédiaire_Prod-Résultats'!AB25</f>
        <v>2182.14356</v>
      </c>
      <c r="H6" s="35">
        <f>'Intermédiaire_Prod-Résultats'!BC25</f>
        <v>1755.6</v>
      </c>
      <c r="I6" s="35">
        <f>'Intermédiaire_Prod-Résultats'!BO25</f>
        <v>348.78999999999996</v>
      </c>
      <c r="J6" s="38">
        <f>'Intermédiaire_Prod-Résultats'!AZ25</f>
        <v>2217.14356</v>
      </c>
      <c r="K6" s="16">
        <f t="shared" si="0"/>
        <v>1330.3071399999999</v>
      </c>
      <c r="M6" s="17" t="str">
        <f t="shared" si="1"/>
        <v>SOYA-BLÉ DE PRINTEMPS PANIFIABLE-MG</v>
      </c>
      <c r="N6" s="15">
        <f>'Intermédiaire_Prod-Résultats'!H25</f>
        <v>1755.6</v>
      </c>
      <c r="O6" s="15">
        <f>'Intermédiaire_Prod-Résultats'!T25</f>
        <v>348.78999999999996</v>
      </c>
      <c r="P6" s="15">
        <f>'Intermédiaire_Prod-Résultats'!E25</f>
        <v>2147.14356</v>
      </c>
      <c r="Q6" s="15">
        <f>'Intermédiaire_Prod-Résultats'!AF25</f>
        <v>1755.6</v>
      </c>
      <c r="R6" s="15">
        <f>'Intermédiaire_Prod-Résultats'!AR25</f>
        <v>348.78999999999996</v>
      </c>
      <c r="S6" s="35">
        <f>'Intermédiaire_Prod-Résultats'!AC25</f>
        <v>2182.14356</v>
      </c>
      <c r="T6" s="35">
        <f>'Intermédiaire_Prod-Résultats'!BD25</f>
        <v>1755.6</v>
      </c>
      <c r="U6" s="35">
        <f>'Intermédiaire_Prod-Résultats'!BP25</f>
        <v>348.78999999999996</v>
      </c>
      <c r="V6" s="38">
        <f>'Intermédiaire_Prod-Résultats'!BA25</f>
        <v>2217.14356</v>
      </c>
      <c r="W6" s="16">
        <f t="shared" si="2"/>
        <v>1330.3071399999999</v>
      </c>
    </row>
    <row r="7" spans="1:23" x14ac:dyDescent="0.25">
      <c r="A7" s="17" t="s">
        <v>160</v>
      </c>
      <c r="B7" s="15">
        <f>'Intermédiaire_Prod-Résultats'!G25</f>
        <v>1755.6</v>
      </c>
      <c r="C7" s="15">
        <f>'Intermédiaire_Prod-Résultats'!J25</f>
        <v>644.31000000000017</v>
      </c>
      <c r="D7" s="15">
        <f>'Intermédiaire_Prod-Résultats'!D25</f>
        <v>2147.14356</v>
      </c>
      <c r="E7" s="15">
        <f>'Intermédiaire_Prod-Résultats'!AE25</f>
        <v>1755.6</v>
      </c>
      <c r="F7" s="15">
        <f>'Intermédiaire_Prod-Résultats'!AH25</f>
        <v>644.31000000000017</v>
      </c>
      <c r="G7" s="35">
        <f>'Intermédiaire_Prod-Résultats'!AB25</f>
        <v>2182.14356</v>
      </c>
      <c r="H7" s="35">
        <f>'Intermédiaire_Prod-Résultats'!BC25</f>
        <v>1755.6</v>
      </c>
      <c r="I7" s="35">
        <f>'Intermédiaire_Prod-Résultats'!BF25</f>
        <v>644.31000000000017</v>
      </c>
      <c r="J7" s="38">
        <f>'Intermédiaire_Prod-Résultats'!AZ25</f>
        <v>2217.14356</v>
      </c>
      <c r="K7" s="16">
        <f t="shared" si="0"/>
        <v>1441.1271400000001</v>
      </c>
      <c r="M7" s="17" t="str">
        <f t="shared" si="1"/>
        <v>SOYA-ORGE-MG</v>
      </c>
      <c r="N7" s="15">
        <f>'Intermédiaire_Prod-Résultats'!H25</f>
        <v>1755.6</v>
      </c>
      <c r="O7" s="15">
        <f>'Intermédiaire_Prod-Résultats'!K25</f>
        <v>644.31000000000017</v>
      </c>
      <c r="P7" s="15">
        <f>'Intermédiaire_Prod-Résultats'!E25</f>
        <v>2147.14356</v>
      </c>
      <c r="Q7" s="15">
        <f>'Intermédiaire_Prod-Résultats'!AF25</f>
        <v>1755.6</v>
      </c>
      <c r="R7" s="15">
        <f>'Intermédiaire_Prod-Résultats'!AI25</f>
        <v>644.31000000000017</v>
      </c>
      <c r="S7" s="35">
        <f>'Intermédiaire_Prod-Résultats'!AC25</f>
        <v>2182.14356</v>
      </c>
      <c r="T7" s="35">
        <f>'Intermédiaire_Prod-Résultats'!BD25</f>
        <v>1755.6</v>
      </c>
      <c r="U7" s="35">
        <f>'Intermédiaire_Prod-Résultats'!BG25</f>
        <v>644.31000000000017</v>
      </c>
      <c r="V7" s="38">
        <f>'Intermédiaire_Prod-Résultats'!BA25</f>
        <v>2217.14356</v>
      </c>
      <c r="W7" s="16">
        <f t="shared" si="2"/>
        <v>1441.1271400000001</v>
      </c>
    </row>
    <row r="8" spans="1:23" x14ac:dyDescent="0.25">
      <c r="A8" s="17" t="s">
        <v>161</v>
      </c>
      <c r="B8" s="15">
        <f>'Intermédiaire_Prod-Résultats'!G25</f>
        <v>1755.6</v>
      </c>
      <c r="C8" s="15">
        <f>'Intermédiaire_Prod-Résultats'!M25</f>
        <v>-56.169999999999845</v>
      </c>
      <c r="D8" s="15">
        <f>'Intermédiaire_Prod-Résultats'!D25</f>
        <v>2147.14356</v>
      </c>
      <c r="E8" s="15">
        <f>'Intermédiaire_Prod-Résultats'!AE25</f>
        <v>1755.6</v>
      </c>
      <c r="F8" s="15">
        <f>'Intermédiaire_Prod-Résultats'!AK25</f>
        <v>-56.169999999999845</v>
      </c>
      <c r="G8" s="35">
        <f>'Intermédiaire_Prod-Résultats'!AB25</f>
        <v>2182.14356</v>
      </c>
      <c r="H8" s="35">
        <f>'Intermédiaire_Prod-Résultats'!BC25</f>
        <v>1755.6</v>
      </c>
      <c r="I8" s="35">
        <f>'Intermédiaire_Prod-Résultats'!BI25</f>
        <v>-56.169999999999845</v>
      </c>
      <c r="J8" s="38">
        <f>'Intermédiaire_Prod-Résultats'!AZ25</f>
        <v>2217.14356</v>
      </c>
      <c r="K8" s="16">
        <f t="shared" si="0"/>
        <v>1178.44714</v>
      </c>
      <c r="M8" s="17" t="str">
        <f t="shared" si="1"/>
        <v>SOYA-AVOINE-MG</v>
      </c>
      <c r="N8" s="15">
        <f>'Intermédiaire_Prod-Résultats'!H25</f>
        <v>1755.6</v>
      </c>
      <c r="O8" s="15">
        <f>'Intermédiaire_Prod-Résultats'!N25</f>
        <v>-56.169999999999845</v>
      </c>
      <c r="P8" s="15">
        <f>'Intermédiaire_Prod-Résultats'!E25</f>
        <v>2147.14356</v>
      </c>
      <c r="Q8" s="15">
        <f>'Intermédiaire_Prod-Résultats'!AF25</f>
        <v>1755.6</v>
      </c>
      <c r="R8" s="15">
        <f>'Intermédiaire_Prod-Résultats'!AL25</f>
        <v>-56.169999999999845</v>
      </c>
      <c r="S8" s="35">
        <f>'Intermédiaire_Prod-Résultats'!AC25</f>
        <v>2182.14356</v>
      </c>
      <c r="T8" s="35">
        <f>'Intermédiaire_Prod-Résultats'!BD25</f>
        <v>1755.6</v>
      </c>
      <c r="U8" s="35">
        <f>'Intermédiaire_Prod-Résultats'!BJ25</f>
        <v>-56.169999999999845</v>
      </c>
      <c r="V8" s="38">
        <f>'Intermédiaire_Prod-Résultats'!BA25</f>
        <v>2217.14356</v>
      </c>
      <c r="W8" s="16">
        <f t="shared" si="2"/>
        <v>1178.44714</v>
      </c>
    </row>
    <row r="9" spans="1:23" s="49" customFormat="1" x14ac:dyDescent="0.25">
      <c r="A9" s="53" t="s">
        <v>162</v>
      </c>
      <c r="B9" s="54">
        <f>'Intermédiaire_Prod-Résultats'!G25</f>
        <v>1755.6</v>
      </c>
      <c r="C9" s="54">
        <f>'Intermédiaire_Prod-Résultats'!V25</f>
        <v>329.62591999999995</v>
      </c>
      <c r="D9" s="54">
        <f>'Intermédiaire_Prod-Résultats'!D25</f>
        <v>2147.14356</v>
      </c>
      <c r="E9" s="54">
        <f>'Intermédiaire_Prod-Résultats'!AE25</f>
        <v>1755.6</v>
      </c>
      <c r="F9" s="54">
        <f>'Intermédiaire_Prod-Résultats'!AT25</f>
        <v>329.62591999999995</v>
      </c>
      <c r="G9" s="55">
        <f>'Intermédiaire_Prod-Résultats'!AB25</f>
        <v>2182.14356</v>
      </c>
      <c r="H9" s="55">
        <f>'Intermédiaire_Prod-Résultats'!BC25</f>
        <v>1755.6</v>
      </c>
      <c r="I9" s="55">
        <f>'Intermédiaire_Prod-Résultats'!BR25</f>
        <v>329.62591999999995</v>
      </c>
      <c r="J9" s="38">
        <f>'Intermédiaire_Prod-Résultats'!AZ25</f>
        <v>2217.14356</v>
      </c>
      <c r="K9" s="56">
        <f t="shared" si="0"/>
        <v>1323.1206100000002</v>
      </c>
      <c r="M9" s="17" t="str">
        <f t="shared" si="1"/>
        <v>SOYA-SEIGLE-MG</v>
      </c>
      <c r="N9" s="54">
        <f>'Intermédiaire_Prod-Résultats'!H25</f>
        <v>1755.6</v>
      </c>
      <c r="O9" s="54">
        <f>'Intermédiaire_Prod-Résultats'!W25</f>
        <v>329.62591999999995</v>
      </c>
      <c r="P9" s="54">
        <f>'Intermédiaire_Prod-Résultats'!E25</f>
        <v>2147.14356</v>
      </c>
      <c r="Q9" s="54">
        <f>'Intermédiaire_Prod-Résultats'!AF25</f>
        <v>1755.6</v>
      </c>
      <c r="R9" s="54">
        <f>'Intermédiaire_Prod-Résultats'!AU25</f>
        <v>329.62591999999995</v>
      </c>
      <c r="S9" s="55">
        <f>'Intermédiaire_Prod-Résultats'!AC25</f>
        <v>2182.14356</v>
      </c>
      <c r="T9" s="55">
        <f>'Intermédiaire_Prod-Résultats'!BD25</f>
        <v>1755.6</v>
      </c>
      <c r="U9" s="55">
        <f>'Intermédiaire_Prod-Résultats'!BS25</f>
        <v>329.62591999999995</v>
      </c>
      <c r="V9" s="38">
        <f>'Intermédiaire_Prod-Résultats'!BA25</f>
        <v>2217.14356</v>
      </c>
      <c r="W9" s="56">
        <f t="shared" si="2"/>
        <v>1323.1206100000002</v>
      </c>
    </row>
    <row r="10" spans="1:23" x14ac:dyDescent="0.25">
      <c r="A10" s="17" t="s">
        <v>163</v>
      </c>
      <c r="B10" s="15">
        <f>'Intermédiaire_Prod-Résultats'!G25</f>
        <v>1755.6</v>
      </c>
      <c r="C10" s="15">
        <f>'Intermédiaire_Prod-Résultats'!Y25</f>
        <v>1140.7518399999999</v>
      </c>
      <c r="D10" s="15">
        <f>'Intermédiaire_Prod-Résultats'!D25</f>
        <v>2147.14356</v>
      </c>
      <c r="E10" s="15">
        <f>'Intermédiaire_Prod-Résultats'!AE25</f>
        <v>1755.6</v>
      </c>
      <c r="F10" s="15">
        <f>'Intermédiaire_Prod-Résultats'!AW25</f>
        <v>1140.7518399999999</v>
      </c>
      <c r="G10" s="35">
        <f>'Intermédiaire_Prod-Résultats'!AB25</f>
        <v>2182.14356</v>
      </c>
      <c r="H10" s="35">
        <f>'Intermédiaire_Prod-Résultats'!BC25</f>
        <v>1755.6</v>
      </c>
      <c r="I10" s="35">
        <f>'Intermédiaire_Prod-Résultats'!BU25</f>
        <v>1140.7518399999999</v>
      </c>
      <c r="J10" s="38">
        <f>'Intermédiaire_Prod-Résultats'!AZ25</f>
        <v>2217.14356</v>
      </c>
      <c r="K10" s="16">
        <f t="shared" si="0"/>
        <v>1627.2928299999999</v>
      </c>
      <c r="M10" s="17" t="str">
        <f t="shared" si="1"/>
        <v>SOYA-SEIGLE HYBRIDE D'AUTOMNE-MG</v>
      </c>
      <c r="N10" s="15">
        <f>'Intermédiaire_Prod-Résultats'!H25</f>
        <v>1755.6</v>
      </c>
      <c r="O10" s="15">
        <f>'Intermédiaire_Prod-Résultats'!Z25</f>
        <v>1140.7518399999999</v>
      </c>
      <c r="P10" s="15">
        <f>'Intermédiaire_Prod-Résultats'!E25</f>
        <v>2147.14356</v>
      </c>
      <c r="Q10" s="15">
        <f>'Intermédiaire_Prod-Résultats'!AF25</f>
        <v>1755.6</v>
      </c>
      <c r="R10" s="15">
        <f>'Intermédiaire_Prod-Résultats'!AX25</f>
        <v>1140.7518399999999</v>
      </c>
      <c r="S10" s="35">
        <f>'Intermédiaire_Prod-Résultats'!AC25</f>
        <v>2182.14356</v>
      </c>
      <c r="T10" s="35">
        <f>'Intermédiaire_Prod-Résultats'!BD25</f>
        <v>1755.6</v>
      </c>
      <c r="U10" s="35">
        <f>'Intermédiaire_Prod-Résultats'!BV25</f>
        <v>1140.7518399999999</v>
      </c>
      <c r="V10" s="38">
        <f>'Intermédiaire_Prod-Résultats'!BA25</f>
        <v>2217.14356</v>
      </c>
      <c r="W10" s="16">
        <f t="shared" si="2"/>
        <v>1627.2928299999999</v>
      </c>
    </row>
    <row r="11" spans="1:23" x14ac:dyDescent="0.25">
      <c r="A11" s="52"/>
    </row>
    <row r="13" spans="1:23" ht="18.75" x14ac:dyDescent="0.3">
      <c r="A13" s="95" t="s">
        <v>54</v>
      </c>
      <c r="B13" s="95"/>
      <c r="C13" s="95"/>
      <c r="D13" s="95"/>
      <c r="E13" s="95"/>
      <c r="F13" s="95"/>
      <c r="G13" s="95"/>
      <c r="H13" s="95"/>
      <c r="I13" s="95"/>
      <c r="J13" s="95"/>
      <c r="K13" s="95"/>
      <c r="M13" s="92" t="s">
        <v>56</v>
      </c>
      <c r="N13" s="92"/>
      <c r="O13" s="92"/>
      <c r="P13" s="92"/>
      <c r="Q13" s="92"/>
      <c r="R13" s="92"/>
      <c r="S13" s="92"/>
      <c r="T13" s="92"/>
      <c r="U13" s="92"/>
      <c r="V13" s="92"/>
      <c r="W13" s="92"/>
    </row>
    <row r="14" spans="1:23" ht="15.75" x14ac:dyDescent="0.25">
      <c r="A14" s="96" t="s">
        <v>147</v>
      </c>
      <c r="B14" s="96"/>
      <c r="C14" s="96"/>
      <c r="D14" s="96"/>
      <c r="E14" s="96"/>
      <c r="F14" s="96"/>
      <c r="G14" s="96"/>
      <c r="H14" s="96"/>
      <c r="I14" s="96"/>
      <c r="J14" s="96"/>
      <c r="K14" s="96"/>
      <c r="M14" s="91" t="s">
        <v>147</v>
      </c>
      <c r="N14" s="91"/>
      <c r="O14" s="91"/>
      <c r="P14" s="91"/>
      <c r="Q14" s="91"/>
      <c r="R14" s="91"/>
      <c r="S14" s="91"/>
      <c r="T14" s="91"/>
      <c r="U14" s="91"/>
      <c r="V14" s="91"/>
      <c r="W14" s="91"/>
    </row>
    <row r="15" spans="1:23" ht="15.75" outlineLevel="1" x14ac:dyDescent="0.25">
      <c r="A15" s="12"/>
      <c r="B15" s="97" t="s">
        <v>129</v>
      </c>
      <c r="C15" s="97"/>
      <c r="D15" s="97"/>
      <c r="E15" s="97" t="s">
        <v>130</v>
      </c>
      <c r="F15" s="97"/>
      <c r="G15" s="97"/>
      <c r="H15" s="97" t="s">
        <v>131</v>
      </c>
      <c r="I15" s="97"/>
      <c r="J15" s="97"/>
      <c r="K15" s="12"/>
      <c r="M15" s="12"/>
      <c r="N15" s="97" t="s">
        <v>129</v>
      </c>
      <c r="O15" s="97"/>
      <c r="P15" s="97"/>
      <c r="Q15" s="97" t="s">
        <v>130</v>
      </c>
      <c r="R15" s="97"/>
      <c r="S15" s="97"/>
      <c r="T15" s="97" t="s">
        <v>131</v>
      </c>
      <c r="U15" s="97"/>
      <c r="V15" s="97"/>
      <c r="W15" s="12"/>
    </row>
    <row r="16" spans="1:23" outlineLevel="1" x14ac:dyDescent="0.25">
      <c r="A16" s="61" t="s">
        <v>177</v>
      </c>
      <c r="B16" s="13" t="s">
        <v>48</v>
      </c>
      <c r="C16" s="13" t="s">
        <v>49</v>
      </c>
      <c r="D16" s="13" t="s">
        <v>50</v>
      </c>
      <c r="E16" s="13" t="s">
        <v>51</v>
      </c>
      <c r="F16" s="13" t="s">
        <v>52</v>
      </c>
      <c r="G16" s="13" t="s">
        <v>53</v>
      </c>
      <c r="H16" s="13" t="s">
        <v>121</v>
      </c>
      <c r="I16" s="13" t="s">
        <v>122</v>
      </c>
      <c r="J16" s="13" t="s">
        <v>123</v>
      </c>
      <c r="K16" s="14" t="s">
        <v>55</v>
      </c>
      <c r="M16" s="63" t="s">
        <v>177</v>
      </c>
      <c r="N16" s="13" t="s">
        <v>48</v>
      </c>
      <c r="O16" s="13" t="s">
        <v>49</v>
      </c>
      <c r="P16" s="13" t="s">
        <v>50</v>
      </c>
      <c r="Q16" s="13" t="s">
        <v>51</v>
      </c>
      <c r="R16" s="13" t="s">
        <v>52</v>
      </c>
      <c r="S16" s="13" t="s">
        <v>53</v>
      </c>
      <c r="T16" s="13" t="s">
        <v>121</v>
      </c>
      <c r="U16" s="13" t="s">
        <v>122</v>
      </c>
      <c r="V16" s="13" t="s">
        <v>123</v>
      </c>
      <c r="W16" s="14" t="s">
        <v>55</v>
      </c>
    </row>
    <row r="17" spans="1:23" outlineLevel="1" x14ac:dyDescent="0.25">
      <c r="A17" s="17" t="str">
        <f>A5</f>
        <v>SOYA-BLÉ D'AUTOMNE PANIFIABLE-MG</v>
      </c>
      <c r="B17" s="15">
        <f>'Intermédiaire_Prod-Résultats'!G32</f>
        <v>1059.1799999999998</v>
      </c>
      <c r="C17" s="15">
        <f>'Intermédiaire_Prod-Résultats'!P32</f>
        <v>208.40089999999987</v>
      </c>
      <c r="D17" s="15">
        <f>'Intermédiaire_Prod-Résultats'!D32</f>
        <v>1277.4335599999999</v>
      </c>
      <c r="E17" s="15">
        <f>'Intermédiaire_Prod-Résultats'!AE32</f>
        <v>1059.1799999999998</v>
      </c>
      <c r="F17" s="15">
        <f>'Intermédiaire_Prod-Résultats'!AN32</f>
        <v>208.40089999999987</v>
      </c>
      <c r="G17" s="35">
        <f>'Intermédiaire_Prod-Résultats'!AB32</f>
        <v>1312.4335599999999</v>
      </c>
      <c r="H17" s="35">
        <f>'Intermédiaire_Prod-Résultats'!BC32</f>
        <v>1059.1799999999998</v>
      </c>
      <c r="I17" s="35">
        <f>'Intermédiaire_Prod-Résultats'!BL32</f>
        <v>208.40089999999987</v>
      </c>
      <c r="J17" s="38">
        <f>'Intermédiaire_Prod-Résultats'!AZ32</f>
        <v>1347.4335599999999</v>
      </c>
      <c r="K17" s="16">
        <f t="shared" ref="K17:K22" si="3">AVERAGE(B17:I17)</f>
        <v>799.07622749999985</v>
      </c>
      <c r="M17" s="17" t="str">
        <f>M5</f>
        <v>SOYA-BLÉ D'AUTOMNE PANIFIABLE-MG</v>
      </c>
      <c r="N17" s="15">
        <f>'Intermédiaire_Prod-Résultats'!H32</f>
        <v>1059.1799999999998</v>
      </c>
      <c r="O17" s="15">
        <f>'Intermédiaire_Prod-Résultats'!Q32</f>
        <v>208.40089999999987</v>
      </c>
      <c r="P17" s="15">
        <f>'Intermédiaire_Prod-Résultats'!E32</f>
        <v>1277.4335599999999</v>
      </c>
      <c r="Q17" s="15">
        <f>'Intermédiaire_Prod-Résultats'!AF32</f>
        <v>1059.1799999999998</v>
      </c>
      <c r="R17" s="15">
        <f>'Intermédiaire_Prod-Résultats'!AO32</f>
        <v>208.40089999999987</v>
      </c>
      <c r="S17" s="35">
        <f>'Intermédiaire_Prod-Résultats'!AC32</f>
        <v>1312.4335599999999</v>
      </c>
      <c r="T17" s="35">
        <f>'Intermédiaire_Prod-Résultats'!BD32</f>
        <v>1059.1799999999998</v>
      </c>
      <c r="U17" s="35">
        <f>'Intermédiaire_Prod-Résultats'!BM32</f>
        <v>208.40089999999987</v>
      </c>
      <c r="V17" s="38">
        <f>'Intermédiaire_Prod-Résultats'!BA32</f>
        <v>1347.4335599999999</v>
      </c>
      <c r="W17" s="16">
        <f t="shared" ref="W17:W22" si="4">AVERAGE(N17:U17)</f>
        <v>799.07622749999985</v>
      </c>
    </row>
    <row r="18" spans="1:23" outlineLevel="1" x14ac:dyDescent="0.25">
      <c r="A18" s="17" t="str">
        <f t="shared" ref="A18:A22" si="5">A6</f>
        <v>SOYA-BLÉ DE PRINTEMPS PANIFIABLE-MG</v>
      </c>
      <c r="B18" s="15">
        <f>'Intermédiaire_Prod-Résultats'!G32</f>
        <v>1059.1799999999998</v>
      </c>
      <c r="C18" s="15">
        <f>'Intermédiaire_Prod-Résultats'!S32</f>
        <v>-263.67000000000007</v>
      </c>
      <c r="D18" s="15">
        <f>'Intermédiaire_Prod-Résultats'!D32</f>
        <v>1277.4335599999999</v>
      </c>
      <c r="E18" s="15">
        <f>'Intermédiaire_Prod-Résultats'!AE32</f>
        <v>1059.1799999999998</v>
      </c>
      <c r="F18" s="15">
        <f>'Intermédiaire_Prod-Résultats'!AQ32</f>
        <v>-263.67000000000007</v>
      </c>
      <c r="G18" s="35">
        <f>'Intermédiaire_Prod-Résultats'!AB32</f>
        <v>1312.4335599999999</v>
      </c>
      <c r="H18" s="35">
        <f>'Intermédiaire_Prod-Résultats'!BC32</f>
        <v>1059.1799999999998</v>
      </c>
      <c r="I18" s="35">
        <f>'Intermédiaire_Prod-Résultats'!BO32</f>
        <v>-263.67000000000007</v>
      </c>
      <c r="J18" s="38">
        <f>'Intermédiaire_Prod-Résultats'!AZ32</f>
        <v>1347.4335599999999</v>
      </c>
      <c r="K18" s="16">
        <f t="shared" si="3"/>
        <v>622.04963999999995</v>
      </c>
      <c r="M18" s="17" t="str">
        <f t="shared" ref="M18:M22" si="6">M6</f>
        <v>SOYA-BLÉ DE PRINTEMPS PANIFIABLE-MG</v>
      </c>
      <c r="N18" s="15">
        <f>'Intermédiaire_Prod-Résultats'!H32</f>
        <v>1059.1799999999998</v>
      </c>
      <c r="O18" s="15">
        <f>'Intermédiaire_Prod-Résultats'!T32</f>
        <v>-263.67000000000007</v>
      </c>
      <c r="P18" s="15">
        <f>'Intermédiaire_Prod-Résultats'!E32</f>
        <v>1277.4335599999999</v>
      </c>
      <c r="Q18" s="15">
        <f>'Intermédiaire_Prod-Résultats'!AF32</f>
        <v>1059.1799999999998</v>
      </c>
      <c r="R18" s="15">
        <f>'Intermédiaire_Prod-Résultats'!AR32</f>
        <v>-263.67000000000007</v>
      </c>
      <c r="S18" s="35">
        <f>'Intermédiaire_Prod-Résultats'!AC32</f>
        <v>1312.4335599999999</v>
      </c>
      <c r="T18" s="35">
        <f>'Intermédiaire_Prod-Résultats'!BD32</f>
        <v>1059.1799999999998</v>
      </c>
      <c r="U18" s="35">
        <f>'Intermédiaire_Prod-Résultats'!BP32</f>
        <v>-263.67000000000007</v>
      </c>
      <c r="V18" s="38">
        <f>'Intermédiaire_Prod-Résultats'!BA32</f>
        <v>1347.4335599999999</v>
      </c>
      <c r="W18" s="16">
        <f t="shared" si="4"/>
        <v>622.04963999999995</v>
      </c>
    </row>
    <row r="19" spans="1:23" outlineLevel="1" x14ac:dyDescent="0.25">
      <c r="A19" s="17" t="str">
        <f t="shared" si="5"/>
        <v>SOYA-ORGE-MG</v>
      </c>
      <c r="B19" s="15">
        <f>'Intermédiaire_Prod-Résultats'!G32</f>
        <v>1059.1799999999998</v>
      </c>
      <c r="C19" s="15">
        <f>'Intermédiaire_Prod-Résultats'!J32</f>
        <v>29.400000000000205</v>
      </c>
      <c r="D19" s="15">
        <f>'Intermédiaire_Prod-Résultats'!D32</f>
        <v>1277.4335599999999</v>
      </c>
      <c r="E19" s="15">
        <f>'Intermédiaire_Prod-Résultats'!AE32</f>
        <v>1059.1799999999998</v>
      </c>
      <c r="F19" s="15">
        <f>'Intermédiaire_Prod-Résultats'!AH32</f>
        <v>29.400000000000205</v>
      </c>
      <c r="G19" s="35">
        <f>'Intermédiaire_Prod-Résultats'!AB32</f>
        <v>1312.4335599999999</v>
      </c>
      <c r="H19" s="35">
        <f>'Intermédiaire_Prod-Résultats'!BC32</f>
        <v>1059.1799999999998</v>
      </c>
      <c r="I19" s="35">
        <f>'Intermédiaire_Prod-Résultats'!BF32</f>
        <v>29.400000000000205</v>
      </c>
      <c r="J19" s="38">
        <f>'Intermédiaire_Prod-Résultats'!AZ32</f>
        <v>1347.4335599999999</v>
      </c>
      <c r="K19" s="16">
        <f t="shared" si="3"/>
        <v>731.95088999999996</v>
      </c>
      <c r="M19" s="17" t="str">
        <f t="shared" si="6"/>
        <v>SOYA-ORGE-MG</v>
      </c>
      <c r="N19" s="15">
        <f>'Intermédiaire_Prod-Résultats'!H32</f>
        <v>1059.1799999999998</v>
      </c>
      <c r="O19" s="15">
        <f>'Intermédiaire_Prod-Résultats'!K32</f>
        <v>29.400000000000205</v>
      </c>
      <c r="P19" s="15">
        <f>'Intermédiaire_Prod-Résultats'!E32</f>
        <v>1277.4335599999999</v>
      </c>
      <c r="Q19" s="15">
        <f>'Intermédiaire_Prod-Résultats'!AF32</f>
        <v>1059.1799999999998</v>
      </c>
      <c r="R19" s="15">
        <f>'Intermédiaire_Prod-Résultats'!AI32</f>
        <v>29.400000000000205</v>
      </c>
      <c r="S19" s="35">
        <f>'Intermédiaire_Prod-Résultats'!AC32</f>
        <v>1312.4335599999999</v>
      </c>
      <c r="T19" s="35">
        <f>'Intermédiaire_Prod-Résultats'!BD32</f>
        <v>1059.1799999999998</v>
      </c>
      <c r="U19" s="35">
        <f>'Intermédiaire_Prod-Résultats'!BG32</f>
        <v>29.400000000000205</v>
      </c>
      <c r="V19" s="38">
        <f>'Intermédiaire_Prod-Résultats'!BA32</f>
        <v>1347.4335599999999</v>
      </c>
      <c r="W19" s="16">
        <f t="shared" si="4"/>
        <v>731.95088999999996</v>
      </c>
    </row>
    <row r="20" spans="1:23" outlineLevel="1" x14ac:dyDescent="0.25">
      <c r="A20" s="17" t="str">
        <f t="shared" si="5"/>
        <v>SOYA-AVOINE-MG</v>
      </c>
      <c r="B20" s="15">
        <f>'Intermédiaire_Prod-Résultats'!G32</f>
        <v>1059.1799999999998</v>
      </c>
      <c r="C20" s="15">
        <f>'Intermédiaire_Prod-Résultats'!M32</f>
        <v>-573.37999999999988</v>
      </c>
      <c r="D20" s="15">
        <f>'Intermédiaire_Prod-Résultats'!D32</f>
        <v>1277.4335599999999</v>
      </c>
      <c r="E20" s="15">
        <f>'Intermédiaire_Prod-Résultats'!AE32</f>
        <v>1059.1799999999998</v>
      </c>
      <c r="F20" s="15">
        <f>'Intermédiaire_Prod-Résultats'!AK32</f>
        <v>-573.37999999999988</v>
      </c>
      <c r="G20" s="35">
        <f>'Intermédiaire_Prod-Résultats'!AB32</f>
        <v>1312.4335599999999</v>
      </c>
      <c r="H20" s="35">
        <f>'Intermédiaire_Prod-Résultats'!BC32</f>
        <v>1059.1799999999998</v>
      </c>
      <c r="I20" s="35">
        <f>'Intermédiaire_Prod-Résultats'!BI32</f>
        <v>-573.37999999999988</v>
      </c>
      <c r="J20" s="38">
        <f>'Intermédiaire_Prod-Résultats'!AZ32</f>
        <v>1347.4335599999999</v>
      </c>
      <c r="K20" s="16">
        <f t="shared" si="3"/>
        <v>505.90838999999994</v>
      </c>
      <c r="M20" s="17" t="str">
        <f t="shared" si="6"/>
        <v>SOYA-AVOINE-MG</v>
      </c>
      <c r="N20" s="15">
        <f>'Intermédiaire_Prod-Résultats'!H32</f>
        <v>1059.1799999999998</v>
      </c>
      <c r="O20" s="15">
        <f>'Intermédiaire_Prod-Résultats'!N32</f>
        <v>-573.37999999999988</v>
      </c>
      <c r="P20" s="15">
        <f>'Intermédiaire_Prod-Résultats'!E32</f>
        <v>1277.4335599999999</v>
      </c>
      <c r="Q20" s="15">
        <f>'Intermédiaire_Prod-Résultats'!AF32</f>
        <v>1059.1799999999998</v>
      </c>
      <c r="R20" s="15">
        <f>'Intermédiaire_Prod-Résultats'!AL32</f>
        <v>-573.37999999999988</v>
      </c>
      <c r="S20" s="35">
        <f>'Intermédiaire_Prod-Résultats'!AC32</f>
        <v>1312.4335599999999</v>
      </c>
      <c r="T20" s="35">
        <f>'Intermédiaire_Prod-Résultats'!BD32</f>
        <v>1059.1799999999998</v>
      </c>
      <c r="U20" s="35">
        <f>'Intermédiaire_Prod-Résultats'!BJ32</f>
        <v>-573.37999999999988</v>
      </c>
      <c r="V20" s="38">
        <f>'Intermédiaire_Prod-Résultats'!BA32</f>
        <v>1347.4335599999999</v>
      </c>
      <c r="W20" s="16">
        <f t="shared" si="4"/>
        <v>505.90838999999994</v>
      </c>
    </row>
    <row r="21" spans="1:23" outlineLevel="1" x14ac:dyDescent="0.25">
      <c r="A21" s="17" t="str">
        <f t="shared" si="5"/>
        <v>SOYA-SEIGLE-MG</v>
      </c>
      <c r="B21" s="15">
        <f>'Intermédiaire_Prod-Résultats'!G32</f>
        <v>1059.1799999999998</v>
      </c>
      <c r="C21" s="15">
        <f>'Intermédiaire_Prod-Résultats'!V32</f>
        <v>-249.59408000000008</v>
      </c>
      <c r="D21" s="15">
        <f>'Intermédiaire_Prod-Résultats'!D32</f>
        <v>1277.4335599999999</v>
      </c>
      <c r="E21" s="15">
        <f>'Intermédiaire_Prod-Résultats'!AE32</f>
        <v>1059.1799999999998</v>
      </c>
      <c r="F21" s="15">
        <f>'Intermédiaire_Prod-Résultats'!AT32</f>
        <v>-249.59408000000008</v>
      </c>
      <c r="G21" s="35">
        <f>'Intermédiaire_Prod-Résultats'!AB32</f>
        <v>1312.4335599999999</v>
      </c>
      <c r="H21" s="35">
        <f>'Intermédiaire_Prod-Résultats'!BC32</f>
        <v>1059.1799999999998</v>
      </c>
      <c r="I21" s="35">
        <f>'Intermédiaire_Prod-Résultats'!BR32</f>
        <v>-249.59408000000008</v>
      </c>
      <c r="J21" s="38">
        <f>'Intermédiaire_Prod-Résultats'!AZ32</f>
        <v>1347.4335599999999</v>
      </c>
      <c r="K21" s="16">
        <f t="shared" si="3"/>
        <v>627.32811000000004</v>
      </c>
      <c r="M21" s="17" t="str">
        <f t="shared" si="6"/>
        <v>SOYA-SEIGLE-MG</v>
      </c>
      <c r="N21" s="15">
        <f>'Intermédiaire_Prod-Résultats'!H32</f>
        <v>1059.1799999999998</v>
      </c>
      <c r="O21" s="15">
        <f>'Intermédiaire_Prod-Résultats'!W32</f>
        <v>-249.59408000000008</v>
      </c>
      <c r="P21" s="15">
        <f>'Intermédiaire_Prod-Résultats'!E32</f>
        <v>1277.4335599999999</v>
      </c>
      <c r="Q21" s="15">
        <f>'Intermédiaire_Prod-Résultats'!AF32</f>
        <v>1059.1799999999998</v>
      </c>
      <c r="R21" s="15">
        <f>'Intermédiaire_Prod-Résultats'!AU32</f>
        <v>-249.59408000000008</v>
      </c>
      <c r="S21" s="35">
        <f>'Intermédiaire_Prod-Résultats'!AC32</f>
        <v>1312.4335599999999</v>
      </c>
      <c r="T21" s="35">
        <f>'Intermédiaire_Prod-Résultats'!BD32</f>
        <v>1059.1799999999998</v>
      </c>
      <c r="U21" s="35">
        <f>'Intermédiaire_Prod-Résultats'!BS32</f>
        <v>-249.59408000000008</v>
      </c>
      <c r="V21" s="38">
        <f>'Intermédiaire_Prod-Résultats'!BA32</f>
        <v>1347.4335599999999</v>
      </c>
      <c r="W21" s="16">
        <f t="shared" si="4"/>
        <v>627.32811000000004</v>
      </c>
    </row>
    <row r="22" spans="1:23" outlineLevel="1" x14ac:dyDescent="0.25">
      <c r="A22" s="17" t="str">
        <f t="shared" si="5"/>
        <v>SOYA-SEIGLE HYBRIDE D'AUTOMNE-MG</v>
      </c>
      <c r="B22" s="15">
        <f>'Intermédiaire_Prod-Résultats'!G32</f>
        <v>1059.1799999999998</v>
      </c>
      <c r="C22" s="15">
        <f>'Intermédiaire_Prod-Résultats'!Y32</f>
        <v>561.53183999999987</v>
      </c>
      <c r="D22" s="15">
        <f>'Intermédiaire_Prod-Résultats'!D32</f>
        <v>1277.4335599999999</v>
      </c>
      <c r="E22" s="15">
        <f>'Intermédiaire_Prod-Résultats'!AE32</f>
        <v>1059.1799999999998</v>
      </c>
      <c r="F22" s="15">
        <f>'Intermédiaire_Prod-Résultats'!AW32</f>
        <v>561.53183999999987</v>
      </c>
      <c r="G22" s="35">
        <f>'Intermédiaire_Prod-Résultats'!AB32</f>
        <v>1312.4335599999999</v>
      </c>
      <c r="H22" s="35">
        <f>'Intermédiaire_Prod-Résultats'!BC32</f>
        <v>1059.1799999999998</v>
      </c>
      <c r="I22" s="35">
        <f>'Intermédiaire_Prod-Résultats'!BU32</f>
        <v>561.53183999999987</v>
      </c>
      <c r="J22" s="38">
        <f>'Intermédiaire_Prod-Résultats'!AZ32</f>
        <v>1347.4335599999999</v>
      </c>
      <c r="K22" s="16">
        <f t="shared" si="3"/>
        <v>931.50032999999985</v>
      </c>
      <c r="M22" s="17" t="str">
        <f t="shared" si="6"/>
        <v>SOYA-SEIGLE HYBRIDE D'AUTOMNE-MG</v>
      </c>
      <c r="N22" s="15">
        <f>'Intermédiaire_Prod-Résultats'!H32</f>
        <v>1059.1799999999998</v>
      </c>
      <c r="O22" s="15">
        <f>'Intermédiaire_Prod-Résultats'!Z32</f>
        <v>561.53183999999987</v>
      </c>
      <c r="P22" s="15">
        <f>'Intermédiaire_Prod-Résultats'!E32</f>
        <v>1277.4335599999999</v>
      </c>
      <c r="Q22" s="15">
        <f>'Intermédiaire_Prod-Résultats'!AF32</f>
        <v>1059.1799999999998</v>
      </c>
      <c r="R22" s="15">
        <f>'Intermédiaire_Prod-Résultats'!AX32</f>
        <v>561.53183999999987</v>
      </c>
      <c r="S22" s="35">
        <f>'Intermédiaire_Prod-Résultats'!AC32</f>
        <v>1312.4335599999999</v>
      </c>
      <c r="T22" s="35">
        <f>'Intermédiaire_Prod-Résultats'!BD32</f>
        <v>1059.1799999999998</v>
      </c>
      <c r="U22" s="35">
        <f>'Intermédiaire_Prod-Résultats'!BV32</f>
        <v>561.53183999999987</v>
      </c>
      <c r="V22" s="38">
        <f>'Intermédiaire_Prod-Résultats'!BA32</f>
        <v>1347.4335599999999</v>
      </c>
      <c r="W22" s="16">
        <f t="shared" si="4"/>
        <v>931.50032999999985</v>
      </c>
    </row>
  </sheetData>
  <dataConsolidate/>
  <mergeCells count="20">
    <mergeCell ref="T15:V15"/>
    <mergeCell ref="B15:D15"/>
    <mergeCell ref="E15:G15"/>
    <mergeCell ref="H15:J15"/>
    <mergeCell ref="N3:P3"/>
    <mergeCell ref="Q3:S3"/>
    <mergeCell ref="N15:P15"/>
    <mergeCell ref="Q15:S15"/>
    <mergeCell ref="M2:W2"/>
    <mergeCell ref="M1:W1"/>
    <mergeCell ref="M14:W14"/>
    <mergeCell ref="M13:W13"/>
    <mergeCell ref="A1:K1"/>
    <mergeCell ref="A2:K2"/>
    <mergeCell ref="A13:K13"/>
    <mergeCell ref="A14:K14"/>
    <mergeCell ref="B3:D3"/>
    <mergeCell ref="E3:G3"/>
    <mergeCell ref="H3:J3"/>
    <mergeCell ref="T3:V3"/>
  </mergeCells>
  <phoneticPr fontId="6" type="noConversion"/>
  <pageMargins left="0.7" right="0.7" top="0.75" bottom="0.75" header="0.3" footer="0.3"/>
  <pageSetup orientation="portrait" r:id="rId1"/>
  <legacy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A495FC-859A-42DE-9BBD-FD07149A4C99}">
  <sheetPr>
    <tabColor theme="5" tint="0.79998168889431442"/>
  </sheetPr>
  <dimension ref="A1:R29"/>
  <sheetViews>
    <sheetView tabSelected="1" zoomScaleNormal="100" workbookViewId="0">
      <selection sqref="A1:E1"/>
    </sheetView>
  </sheetViews>
  <sheetFormatPr baseColWidth="10" defaultColWidth="10.85546875" defaultRowHeight="15" x14ac:dyDescent="0.25"/>
  <cols>
    <col min="1" max="1" width="37" customWidth="1"/>
    <col min="5" max="5" width="16.85546875" customWidth="1"/>
    <col min="14" max="14" width="36.42578125" customWidth="1"/>
    <col min="18" max="18" width="18.140625" customWidth="1"/>
  </cols>
  <sheetData>
    <row r="1" spans="1:18" x14ac:dyDescent="0.25">
      <c r="A1" s="98" t="s">
        <v>182</v>
      </c>
      <c r="B1" s="98"/>
      <c r="C1" s="98"/>
      <c r="D1" s="98"/>
      <c r="E1" s="98"/>
      <c r="N1" s="100" t="s">
        <v>184</v>
      </c>
      <c r="O1" s="100"/>
      <c r="P1" s="100"/>
      <c r="Q1" s="100"/>
      <c r="R1" s="100"/>
    </row>
    <row r="2" spans="1:18" ht="45" x14ac:dyDescent="0.25">
      <c r="A2" s="60" t="s">
        <v>177</v>
      </c>
      <c r="B2" s="64" t="s">
        <v>178</v>
      </c>
      <c r="C2" s="65" t="s">
        <v>179</v>
      </c>
      <c r="D2" s="66" t="s">
        <v>180</v>
      </c>
      <c r="E2" s="67" t="s">
        <v>181</v>
      </c>
      <c r="N2" s="77" t="s">
        <v>177</v>
      </c>
      <c r="O2" s="64" t="s">
        <v>178</v>
      </c>
      <c r="P2" s="65" t="s">
        <v>179</v>
      </c>
      <c r="Q2" s="66" t="s">
        <v>180</v>
      </c>
      <c r="R2" s="67" t="s">
        <v>181</v>
      </c>
    </row>
    <row r="3" spans="1:18" x14ac:dyDescent="0.25">
      <c r="A3" s="46" t="str">
        <f>Résultats_détaillés!A5</f>
        <v>SOYA-BLÉ D'AUTOMNE PANIFIABLE-MG</v>
      </c>
      <c r="B3" s="68">
        <f>AVERAGE(Résultats_détaillés!B5:D5)</f>
        <v>1574.5348200000001</v>
      </c>
      <c r="C3" s="68">
        <f>AVERAGE(Résultats_détaillés!E5:G5)</f>
        <v>1586.2014866666668</v>
      </c>
      <c r="D3" s="69">
        <f>AVERAGE(Résultats_détaillés!H5:J5)</f>
        <v>1597.8681533333336</v>
      </c>
      <c r="E3" s="69">
        <f t="shared" ref="E3:E8" si="0">AVERAGE(B3:D3)</f>
        <v>1586.2014866666668</v>
      </c>
      <c r="N3" s="46" t="str">
        <f>Résultats_détaillés!M5</f>
        <v>SOYA-BLÉ D'AUTOMNE PANIFIABLE-MG</v>
      </c>
      <c r="O3" s="68">
        <f>AVERAGE(Résultats_détaillés!N5:P5)</f>
        <v>1574.5348200000001</v>
      </c>
      <c r="P3" s="68">
        <f>AVERAGE(Résultats_détaillés!Q5:S5)</f>
        <v>1586.2014866666668</v>
      </c>
      <c r="Q3" s="69">
        <f>AVERAGE(Résultats_détaillés!T5:V5)</f>
        <v>1597.8681533333336</v>
      </c>
      <c r="R3" s="69">
        <f t="shared" ref="R3:R8" si="1">AVERAGE(O3:Q3)</f>
        <v>1586.2014866666668</v>
      </c>
    </row>
    <row r="4" spans="1:18" x14ac:dyDescent="0.25">
      <c r="A4" s="70" t="str">
        <f>Résultats_détaillés!A6</f>
        <v>SOYA-BLÉ DE PRINTEMPS PANIFIABLE-MG</v>
      </c>
      <c r="B4" s="71">
        <f>AVERAGE(Résultats_détaillés!B6:D6)</f>
        <v>1417.1778533333334</v>
      </c>
      <c r="C4" s="71">
        <f>AVERAGE(Résultats_détaillés!E6:G6)</f>
        <v>1428.8445199999999</v>
      </c>
      <c r="D4" s="72">
        <f>AVERAGE(Résultats_détaillés!H6:J6)</f>
        <v>1440.5111866666666</v>
      </c>
      <c r="E4" s="72">
        <f t="shared" si="0"/>
        <v>1428.8445199999999</v>
      </c>
      <c r="N4" s="70" t="str">
        <f>Résultats_détaillés!M6</f>
        <v>SOYA-BLÉ DE PRINTEMPS PANIFIABLE-MG</v>
      </c>
      <c r="O4" s="71">
        <f>AVERAGE(Résultats_détaillés!N6:P6)</f>
        <v>1417.1778533333334</v>
      </c>
      <c r="P4" s="71">
        <f>AVERAGE(Résultats_détaillés!Q6:S6)</f>
        <v>1428.8445199999999</v>
      </c>
      <c r="Q4" s="72">
        <f>AVERAGE(Résultats_détaillés!T6:V6)</f>
        <v>1440.5111866666666</v>
      </c>
      <c r="R4" s="72">
        <f t="shared" si="1"/>
        <v>1428.8445199999999</v>
      </c>
    </row>
    <row r="5" spans="1:18" x14ac:dyDescent="0.25">
      <c r="A5" s="70" t="str">
        <f>Résultats_détaillés!A7</f>
        <v>SOYA-ORGE-MG</v>
      </c>
      <c r="B5" s="71">
        <f>AVERAGE(Résultats_détaillés!B7:D7)</f>
        <v>1515.68452</v>
      </c>
      <c r="C5" s="71">
        <f>AVERAGE(Résultats_détaillés!E7:G7)</f>
        <v>1527.3511866666668</v>
      </c>
      <c r="D5" s="72">
        <f>AVERAGE(Résultats_détaillés!H7:J7)</f>
        <v>1539.0178533333335</v>
      </c>
      <c r="E5" s="72">
        <f t="shared" si="0"/>
        <v>1527.3511866666668</v>
      </c>
      <c r="N5" s="70" t="str">
        <f>Résultats_détaillés!M7</f>
        <v>SOYA-ORGE-MG</v>
      </c>
      <c r="O5" s="71">
        <f>AVERAGE(Résultats_détaillés!N7:P7)</f>
        <v>1515.68452</v>
      </c>
      <c r="P5" s="71">
        <f>AVERAGE(Résultats_détaillés!Q7:S7)</f>
        <v>1527.3511866666668</v>
      </c>
      <c r="Q5" s="72">
        <f>AVERAGE(Résultats_détaillés!T7:V7)</f>
        <v>1539.0178533333335</v>
      </c>
      <c r="R5" s="72">
        <f t="shared" si="1"/>
        <v>1527.3511866666668</v>
      </c>
    </row>
    <row r="6" spans="1:18" x14ac:dyDescent="0.25">
      <c r="A6" s="70" t="str">
        <f>Résultats_détaillés!A8</f>
        <v>SOYA-AVOINE-MG</v>
      </c>
      <c r="B6" s="71">
        <f>AVERAGE(Résultats_détaillés!B8:D8)</f>
        <v>1282.1911866666667</v>
      </c>
      <c r="C6" s="71">
        <f>AVERAGE(Résultats_détaillés!E8:G8)</f>
        <v>1293.8578533333332</v>
      </c>
      <c r="D6" s="72">
        <f>AVERAGE(Résultats_détaillés!H8:J8)</f>
        <v>1305.5245199999999</v>
      </c>
      <c r="E6" s="72">
        <f t="shared" si="0"/>
        <v>1293.8578533333332</v>
      </c>
      <c r="N6" s="70" t="str">
        <f>Résultats_détaillés!M8</f>
        <v>SOYA-AVOINE-MG</v>
      </c>
      <c r="O6" s="71">
        <f>AVERAGE(Résultats_détaillés!N8:P8)</f>
        <v>1282.1911866666667</v>
      </c>
      <c r="P6" s="71">
        <f>AVERAGE(Résultats_détaillés!Q8:S8)</f>
        <v>1293.8578533333332</v>
      </c>
      <c r="Q6" s="72">
        <f>AVERAGE(Résultats_détaillés!T8:V8)</f>
        <v>1305.5245199999999</v>
      </c>
      <c r="R6" s="72">
        <f t="shared" si="1"/>
        <v>1293.8578533333332</v>
      </c>
    </row>
    <row r="7" spans="1:18" x14ac:dyDescent="0.25">
      <c r="A7" s="70" t="str">
        <f>Résultats_détaillés!A9</f>
        <v>SOYA-SEIGLE-MG</v>
      </c>
      <c r="B7" s="71">
        <f>AVERAGE(Résultats_détaillés!B9:D9)</f>
        <v>1410.7898266666664</v>
      </c>
      <c r="C7" s="71">
        <f>AVERAGE(Résultats_détaillés!E9:G9)</f>
        <v>1422.4564933333331</v>
      </c>
      <c r="D7" s="72">
        <f>AVERAGE(Résultats_détaillés!H9:J9)</f>
        <v>1434.1231599999999</v>
      </c>
      <c r="E7" s="72">
        <f t="shared" si="0"/>
        <v>1422.4564933333331</v>
      </c>
      <c r="N7" s="70" t="str">
        <f>Résultats_détaillés!M9</f>
        <v>SOYA-SEIGLE-MG</v>
      </c>
      <c r="O7" s="71">
        <f>AVERAGE(Résultats_détaillés!N9:P9)</f>
        <v>1410.7898266666664</v>
      </c>
      <c r="P7" s="71">
        <f>AVERAGE(Résultats_détaillés!Q9:S9)</f>
        <v>1422.4564933333331</v>
      </c>
      <c r="Q7" s="72">
        <f>AVERAGE(Résultats_détaillés!T9:V9)</f>
        <v>1434.1231599999999</v>
      </c>
      <c r="R7" s="72">
        <f t="shared" si="1"/>
        <v>1422.4564933333331</v>
      </c>
    </row>
    <row r="8" spans="1:18" x14ac:dyDescent="0.25">
      <c r="A8" s="73" t="str">
        <f>Résultats_détaillés!A10</f>
        <v>SOYA-SEIGLE HYBRIDE D'AUTOMNE-MG</v>
      </c>
      <c r="B8" s="74">
        <f>AVERAGE(Résultats_détaillés!B10:D10)</f>
        <v>1681.1651333333332</v>
      </c>
      <c r="C8" s="74">
        <f>AVERAGE(Résultats_détaillés!E10:G10)</f>
        <v>1692.8317999999999</v>
      </c>
      <c r="D8" s="75">
        <f>AVERAGE(Résultats_détaillés!H10:J10)</f>
        <v>1704.4984666666667</v>
      </c>
      <c r="E8" s="75">
        <f t="shared" si="0"/>
        <v>1692.8317999999999</v>
      </c>
      <c r="N8" s="73" t="str">
        <f>Résultats_détaillés!M10</f>
        <v>SOYA-SEIGLE HYBRIDE D'AUTOMNE-MG</v>
      </c>
      <c r="O8" s="74">
        <f>AVERAGE(Résultats_détaillés!N10:P10)</f>
        <v>1681.1651333333332</v>
      </c>
      <c r="P8" s="74">
        <f>AVERAGE(Résultats_détaillés!Q10:S10)</f>
        <v>1692.8317999999999</v>
      </c>
      <c r="Q8" s="75">
        <f>AVERAGE(Résultats_détaillés!T10:V10)</f>
        <v>1704.4984666666667</v>
      </c>
      <c r="R8" s="75">
        <f t="shared" si="1"/>
        <v>1692.8317999999999</v>
      </c>
    </row>
    <row r="9" spans="1:18" x14ac:dyDescent="0.25">
      <c r="B9" s="76"/>
      <c r="C9" s="76"/>
      <c r="D9" s="76"/>
      <c r="E9" s="76"/>
    </row>
    <row r="22" spans="1:18" ht="29.45" customHeight="1" x14ac:dyDescent="0.25">
      <c r="A22" s="99" t="s">
        <v>183</v>
      </c>
      <c r="B22" s="99"/>
      <c r="C22" s="99"/>
      <c r="D22" s="99"/>
      <c r="E22" s="99"/>
      <c r="N22" s="101" t="s">
        <v>185</v>
      </c>
      <c r="O22" s="101"/>
      <c r="P22" s="101"/>
      <c r="Q22" s="101"/>
      <c r="R22" s="101"/>
    </row>
    <row r="23" spans="1:18" ht="45" x14ac:dyDescent="0.25">
      <c r="A23" s="61" t="s">
        <v>177</v>
      </c>
      <c r="B23" s="64" t="s">
        <v>178</v>
      </c>
      <c r="C23" s="65" t="s">
        <v>179</v>
      </c>
      <c r="D23" s="66" t="s">
        <v>180</v>
      </c>
      <c r="E23" s="67" t="s">
        <v>181</v>
      </c>
      <c r="N23" s="78" t="s">
        <v>177</v>
      </c>
      <c r="O23" s="64" t="s">
        <v>178</v>
      </c>
      <c r="P23" s="65" t="s">
        <v>179</v>
      </c>
      <c r="Q23" s="66" t="s">
        <v>180</v>
      </c>
      <c r="R23" s="67" t="s">
        <v>181</v>
      </c>
    </row>
    <row r="24" spans="1:18" x14ac:dyDescent="0.25">
      <c r="A24" s="46" t="str">
        <f>Résultats_détaillés!A17</f>
        <v>SOYA-BLÉ D'AUTOMNE PANIFIABLE-MG</v>
      </c>
      <c r="B24" s="68">
        <f>AVERAGE(Résultats_détaillés!B17:D17)</f>
        <v>848.33815333333314</v>
      </c>
      <c r="C24" s="68">
        <f>AVERAGE(Résultats_détaillés!E17:G17)</f>
        <v>860.00481999999977</v>
      </c>
      <c r="D24" s="69">
        <f>AVERAGE(Résultats_détaillés!H17:J17)</f>
        <v>871.67148666666651</v>
      </c>
      <c r="E24" s="69">
        <f t="shared" ref="E24" si="2">AVERAGE(B24:D24)</f>
        <v>860.00481999999977</v>
      </c>
      <c r="N24" s="46" t="str">
        <f>Résultats_détaillés!M17</f>
        <v>SOYA-BLÉ D'AUTOMNE PANIFIABLE-MG</v>
      </c>
      <c r="O24" s="68">
        <f>AVERAGE(Résultats_détaillés!N17:P17)</f>
        <v>848.33815333333314</v>
      </c>
      <c r="P24" s="68">
        <f>AVERAGE(Résultats_détaillés!Q17:S17)</f>
        <v>860.00481999999977</v>
      </c>
      <c r="Q24" s="69">
        <f>AVERAGE(Résultats_détaillés!T17:V17)</f>
        <v>871.67148666666651</v>
      </c>
      <c r="R24" s="69">
        <f t="shared" ref="R24:R29" si="3">AVERAGE(O24:Q24)</f>
        <v>860.00481999999977</v>
      </c>
    </row>
    <row r="25" spans="1:18" x14ac:dyDescent="0.25">
      <c r="A25" s="70" t="str">
        <f>Résultats_détaillés!A18</f>
        <v>SOYA-BLÉ DE PRINTEMPS PANIFIABLE-MG</v>
      </c>
      <c r="B25" s="71">
        <f>AVERAGE(Résultats_détaillés!B18:D18)</f>
        <v>690.98118666666653</v>
      </c>
      <c r="C25" s="71">
        <f>AVERAGE(Résultats_détaillés!E18:G18)</f>
        <v>702.64785333333327</v>
      </c>
      <c r="D25" s="72">
        <f>AVERAGE(Résultats_détaillés!H18:J18)</f>
        <v>714.3145199999999</v>
      </c>
      <c r="E25" s="72">
        <f t="shared" ref="E25:E29" si="4">AVERAGE(B25:D25)</f>
        <v>702.64785333333327</v>
      </c>
      <c r="N25" s="70" t="str">
        <f>Résultats_détaillés!M18</f>
        <v>SOYA-BLÉ DE PRINTEMPS PANIFIABLE-MG</v>
      </c>
      <c r="O25" s="71">
        <f>AVERAGE(Résultats_détaillés!N18:P18)</f>
        <v>690.98118666666653</v>
      </c>
      <c r="P25" s="71">
        <f>AVERAGE(Résultats_détaillés!Q18:S18)</f>
        <v>702.64785333333327</v>
      </c>
      <c r="Q25" s="72">
        <f>AVERAGE(Résultats_détaillés!T18:V18)</f>
        <v>714.3145199999999</v>
      </c>
      <c r="R25" s="72">
        <f t="shared" si="3"/>
        <v>702.64785333333327</v>
      </c>
    </row>
    <row r="26" spans="1:18" x14ac:dyDescent="0.25">
      <c r="A26" s="70" t="str">
        <f>Résultats_détaillés!A19</f>
        <v>SOYA-ORGE-MG</v>
      </c>
      <c r="B26" s="71">
        <f>AVERAGE(Résultats_détaillés!B19:D19)</f>
        <v>788.67118666666659</v>
      </c>
      <c r="C26" s="71">
        <f>AVERAGE(Résultats_détaillés!E19:G19)</f>
        <v>800.33785333333333</v>
      </c>
      <c r="D26" s="72">
        <f>AVERAGE(Résultats_détaillés!H19:J19)</f>
        <v>812.00451999999996</v>
      </c>
      <c r="E26" s="72">
        <f t="shared" si="4"/>
        <v>800.33785333333333</v>
      </c>
      <c r="N26" s="70" t="str">
        <f>Résultats_détaillés!M19</f>
        <v>SOYA-ORGE-MG</v>
      </c>
      <c r="O26" s="71">
        <f>AVERAGE(Résultats_détaillés!N19:P19)</f>
        <v>788.67118666666659</v>
      </c>
      <c r="P26" s="71">
        <f>AVERAGE(Résultats_détaillés!Q19:S19)</f>
        <v>800.33785333333333</v>
      </c>
      <c r="Q26" s="72">
        <f>AVERAGE(Résultats_détaillés!T19:V19)</f>
        <v>812.00451999999996</v>
      </c>
      <c r="R26" s="72">
        <f t="shared" si="3"/>
        <v>800.33785333333333</v>
      </c>
    </row>
    <row r="27" spans="1:18" x14ac:dyDescent="0.25">
      <c r="A27" s="70" t="str">
        <f>Résultats_détaillés!A20</f>
        <v>SOYA-AVOINE-MG</v>
      </c>
      <c r="B27" s="71">
        <f>AVERAGE(Résultats_détaillés!B20:D20)</f>
        <v>587.74451999999997</v>
      </c>
      <c r="C27" s="71">
        <f>AVERAGE(Résultats_détaillés!E20:G20)</f>
        <v>599.41118666666659</v>
      </c>
      <c r="D27" s="72">
        <f>AVERAGE(Résultats_détaillés!H20:J20)</f>
        <v>611.07785333333334</v>
      </c>
      <c r="E27" s="72">
        <f t="shared" si="4"/>
        <v>599.41118666666659</v>
      </c>
      <c r="N27" s="70" t="str">
        <f>Résultats_détaillés!M20</f>
        <v>SOYA-AVOINE-MG</v>
      </c>
      <c r="O27" s="71">
        <f>AVERAGE(Résultats_détaillés!N20:P20)</f>
        <v>587.74451999999997</v>
      </c>
      <c r="P27" s="71">
        <f>AVERAGE(Résultats_détaillés!Q20:S20)</f>
        <v>599.41118666666659</v>
      </c>
      <c r="Q27" s="72">
        <f>AVERAGE(Résultats_détaillés!T20:V20)</f>
        <v>611.07785333333334</v>
      </c>
      <c r="R27" s="72">
        <f t="shared" si="3"/>
        <v>599.41118666666659</v>
      </c>
    </row>
    <row r="28" spans="1:18" x14ac:dyDescent="0.25">
      <c r="A28" s="70" t="str">
        <f>Résultats_détaillés!A21</f>
        <v>SOYA-SEIGLE-MG</v>
      </c>
      <c r="B28" s="71">
        <f>AVERAGE(Résultats_détaillés!B21:D21)</f>
        <v>695.67315999999994</v>
      </c>
      <c r="C28" s="71">
        <f>AVERAGE(Résultats_détaillés!E21:G21)</f>
        <v>707.33982666666668</v>
      </c>
      <c r="D28" s="72">
        <f>AVERAGE(Résultats_détaillés!H21:J21)</f>
        <v>719.00649333333331</v>
      </c>
      <c r="E28" s="72">
        <f t="shared" si="4"/>
        <v>707.33982666666668</v>
      </c>
      <c r="N28" s="70" t="str">
        <f>Résultats_détaillés!M21</f>
        <v>SOYA-SEIGLE-MG</v>
      </c>
      <c r="O28" s="71">
        <f>AVERAGE(Résultats_détaillés!N21:P21)</f>
        <v>695.67315999999994</v>
      </c>
      <c r="P28" s="71">
        <f>AVERAGE(Résultats_détaillés!Q21:S21)</f>
        <v>707.33982666666668</v>
      </c>
      <c r="Q28" s="72">
        <f>AVERAGE(Résultats_détaillés!T21:V21)</f>
        <v>719.00649333333331</v>
      </c>
      <c r="R28" s="72">
        <f t="shared" si="3"/>
        <v>707.33982666666668</v>
      </c>
    </row>
    <row r="29" spans="1:18" x14ac:dyDescent="0.25">
      <c r="A29" s="73" t="str">
        <f>Résultats_détaillés!A22</f>
        <v>SOYA-SEIGLE HYBRIDE D'AUTOMNE-MG</v>
      </c>
      <c r="B29" s="74">
        <f>AVERAGE(Résultats_détaillés!B22:D22)</f>
        <v>966.04846666666651</v>
      </c>
      <c r="C29" s="74">
        <f>AVERAGE(Résultats_détaillés!E22:G22)</f>
        <v>977.71513333333314</v>
      </c>
      <c r="D29" s="75">
        <f>AVERAGE(Résultats_détaillés!H22:J22)</f>
        <v>989.38179999999977</v>
      </c>
      <c r="E29" s="75">
        <f t="shared" si="4"/>
        <v>977.71513333333314</v>
      </c>
      <c r="N29" s="73" t="str">
        <f>Résultats_détaillés!M22</f>
        <v>SOYA-SEIGLE HYBRIDE D'AUTOMNE-MG</v>
      </c>
      <c r="O29" s="74">
        <f>AVERAGE(Résultats_détaillés!N22:P22)</f>
        <v>966.04846666666651</v>
      </c>
      <c r="P29" s="74">
        <f>AVERAGE(Résultats_détaillés!Q22:S22)</f>
        <v>977.71513333333314</v>
      </c>
      <c r="Q29" s="75">
        <f>AVERAGE(Résultats_détaillés!T22:V22)</f>
        <v>989.38179999999977</v>
      </c>
      <c r="R29" s="75">
        <f t="shared" si="3"/>
        <v>977.71513333333314</v>
      </c>
    </row>
  </sheetData>
  <mergeCells count="4">
    <mergeCell ref="A1:E1"/>
    <mergeCell ref="A22:E22"/>
    <mergeCell ref="N1:R1"/>
    <mergeCell ref="N22:R22"/>
  </mergeCells>
  <pageMargins left="0.7" right="0.7" top="0.75" bottom="0.75" header="0.3" footer="0.3"/>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1235C37FF0B7BF40A469807B3557D740" ma:contentTypeVersion="16" ma:contentTypeDescription="Crée un document." ma:contentTypeScope="" ma:versionID="a5e1e57425f9831ac689da1a6aed8b6a">
  <xsd:schema xmlns:xsd="http://www.w3.org/2001/XMLSchema" xmlns:xs="http://www.w3.org/2001/XMLSchema" xmlns:p="http://schemas.microsoft.com/office/2006/metadata/properties" xmlns:ns2="b9bbbdfe-e28d-4400-a787-fa8689654ece" xmlns:ns3="b995caa8-c599-465c-85e6-d061a0aa3d29" targetNamespace="http://schemas.microsoft.com/office/2006/metadata/properties" ma:root="true" ma:fieldsID="b8af965f957082030aafaeea9a3e1eb1" ns2:_="" ns3:_="">
    <xsd:import namespace="b9bbbdfe-e28d-4400-a787-fa8689654ece"/>
    <xsd:import namespace="b995caa8-c599-465c-85e6-d061a0aa3d29"/>
    <xsd:element name="properties">
      <xsd:complexType>
        <xsd:sequence>
          <xsd:element name="documentManagement">
            <xsd:complexType>
              <xsd:all>
                <xsd:element ref="ns2:MediaServiceMetadata" minOccurs="0"/>
                <xsd:element ref="ns2:MediaServiceFastMetadata" minOccurs="0"/>
                <xsd:element ref="ns2:MediaLengthInSeconds" minOccurs="0"/>
                <xsd:element ref="ns2:MediaServiceDateTaken" minOccurs="0"/>
                <xsd:element ref="ns2:MediaServiceAutoKeyPoints" minOccurs="0"/>
                <xsd:element ref="ns2:MediaServiceKeyPoints" minOccurs="0"/>
                <xsd:element ref="ns2:MediaServiceAutoTags" minOccurs="0"/>
                <xsd:element ref="ns2:MediaServiceGenerationTime" minOccurs="0"/>
                <xsd:element ref="ns2:MediaServiceEventHashCode" minOccurs="0"/>
                <xsd:element ref="ns2:MediaServiceOCR" minOccurs="0"/>
                <xsd:element ref="ns3:SharedWithUsers" minOccurs="0"/>
                <xsd:element ref="ns3:SharedWithDetails" minOccurs="0"/>
                <xsd:element ref="ns2:MediaServiceLocation" minOccurs="0"/>
                <xsd:element ref="ns2:lcf76f155ced4ddcb4097134ff3c332f" minOccurs="0"/>
                <xsd:element ref="ns3:TaxCatchAll"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9bbbdfe-e28d-4400-a787-fa8689654ece"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LengthInSeconds" ma:index="10" nillable="true" ma:displayName="Length (seconds)" ma:internalName="MediaLengthInSeconds" ma:readOnly="true">
      <xsd:simpleType>
        <xsd:restriction base="dms:Unknown"/>
      </xsd:simpleType>
    </xsd:element>
    <xsd:element name="MediaServiceDateTaken" ma:index="11" nillable="true" ma:displayName="MediaServiceDateTaken" ma:hidden="true" ma:internalName="MediaServiceDateTaken" ma:readOnly="true">
      <xsd:simpleType>
        <xsd:restriction base="dms:Text"/>
      </xsd:simpleType>
    </xsd:element>
    <xsd:element name="MediaServiceAutoKeyPoints" ma:index="12" nillable="true" ma:displayName="MediaServiceAutoKeyPoints" ma:hidden="true" ma:internalName="MediaServiceAutoKeyPoints" ma:readOnly="true">
      <xsd:simpleType>
        <xsd:restriction base="dms:Note"/>
      </xsd:simpleType>
    </xsd:element>
    <xsd:element name="MediaServiceKeyPoints" ma:index="13" nillable="true" ma:displayName="KeyPoints" ma:internalName="MediaServiceKeyPoints" ma:readOnly="true">
      <xsd:simpleType>
        <xsd:restriction base="dms:Note">
          <xsd:maxLength value="255"/>
        </xsd:restriction>
      </xsd:simpleType>
    </xsd:element>
    <xsd:element name="MediaServiceAutoTags" ma:index="14" nillable="true" ma:displayName="Tags" ma:internalName="MediaServiceAutoTags" ma:readOnly="true">
      <xsd:simpleType>
        <xsd:restriction base="dms:Text"/>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OCR" ma:index="17" nillable="true" ma:displayName="Extracted Text" ma:internalName="MediaServiceOCR" ma:readOnly="true">
      <xsd:simpleType>
        <xsd:restriction base="dms:Note">
          <xsd:maxLength value="255"/>
        </xsd:restriction>
      </xsd:simpleType>
    </xsd:element>
    <xsd:element name="MediaServiceLocation" ma:index="20" nillable="true" ma:displayName="Location" ma:internalName="MediaServiceLocation" ma:readOnly="true">
      <xsd:simpleType>
        <xsd:restriction base="dms:Text"/>
      </xsd:simpleType>
    </xsd:element>
    <xsd:element name="lcf76f155ced4ddcb4097134ff3c332f" ma:index="22" nillable="true" ma:taxonomy="true" ma:internalName="lcf76f155ced4ddcb4097134ff3c332f" ma:taxonomyFieldName="MediaServiceImageTags" ma:displayName="Balises d’images" ma:readOnly="false" ma:fieldId="{5cf76f15-5ced-4ddc-b409-7134ff3c332f}" ma:taxonomyMulti="true" ma:sspId="3e165e1e-8df5-4a15-b652-d937b5ab2de3" ma:termSetId="09814cd3-568e-fe90-9814-8d621ff8fb84" ma:anchorId="fba54fb3-c3e1-fe81-a776-ca4b69148c4d" ma:open="tru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b995caa8-c599-465c-85e6-d061a0aa3d29" elementFormDefault="qualified">
    <xsd:import namespace="http://schemas.microsoft.com/office/2006/documentManagement/types"/>
    <xsd:import namespace="http://schemas.microsoft.com/office/infopath/2007/PartnerControls"/>
    <xsd:element name="SharedWithUsers" ma:index="18" nillable="true" ma:displayName="Partagé avec"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Partagé avec détails" ma:internalName="SharedWithDetails" ma:readOnly="true">
      <xsd:simpleType>
        <xsd:restriction base="dms:Note">
          <xsd:maxLength value="255"/>
        </xsd:restriction>
      </xsd:simpleType>
    </xsd:element>
    <xsd:element name="TaxCatchAll" ma:index="23" nillable="true" ma:displayName="Taxonomy Catch All Column" ma:hidden="true" ma:list="{40efd461-0863-4a5d-8e34-26da13f49d40}" ma:internalName="TaxCatchAll" ma:showField="CatchAllData" ma:web="b995caa8-c599-465c-85e6-d061a0aa3d29">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ype de contenu"/>
        <xsd:element ref="dc:title" minOccurs="0" maxOccurs="1" ma:index="4" ma:displayName="Titr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CB41B951-D882-46FA-B701-09352052B19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b9bbbdfe-e28d-4400-a787-fa8689654ece"/>
    <ds:schemaRef ds:uri="b995caa8-c599-465c-85e6-d061a0aa3d29"/>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1F187D59-6539-49F8-B7C8-BF861EC36A90}">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18</vt:i4>
      </vt:variant>
      <vt:variant>
        <vt:lpstr>Plages nommées</vt:lpstr>
      </vt:variant>
      <vt:variant>
        <vt:i4>4</vt:i4>
      </vt:variant>
    </vt:vector>
  </HeadingPairs>
  <TitlesOfParts>
    <vt:vector size="22" baseType="lpstr">
      <vt:lpstr>GuideUtilisation</vt:lpstr>
      <vt:lpstr>Saisies</vt:lpstr>
      <vt:lpstr>Gains agronomiques</vt:lpstr>
      <vt:lpstr>Maïs-grain</vt:lpstr>
      <vt:lpstr>Soya</vt:lpstr>
      <vt:lpstr>Orge</vt:lpstr>
      <vt:lpstr>Avoine</vt:lpstr>
      <vt:lpstr>Blé_d'automne</vt:lpstr>
      <vt:lpstr>Blé_printemps</vt:lpstr>
      <vt:lpstr>Seigle</vt:lpstr>
      <vt:lpstr>Seigle_hybride</vt:lpstr>
      <vt:lpstr>Cultures de couverture</vt:lpstr>
      <vt:lpstr>ASRA_Calculs</vt:lpstr>
      <vt:lpstr>Rendements_CECPA</vt:lpstr>
      <vt:lpstr>Prix_CECPA</vt:lpstr>
      <vt:lpstr>Intermédiaire_Prod-Résultats</vt:lpstr>
      <vt:lpstr>Résultats_détaillés</vt:lpstr>
      <vt:lpstr>Résultats_sommaires</vt:lpstr>
      <vt:lpstr>Prix</vt:lpstr>
      <vt:lpstr>Prix_Titre</vt:lpstr>
      <vt:lpstr>Rend</vt:lpstr>
      <vt:lpstr>Rend_Titre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doria</dc:creator>
  <cp:lastModifiedBy>Rolande Bicaba</cp:lastModifiedBy>
  <cp:lastPrinted>2022-12-23T01:04:33Z</cp:lastPrinted>
  <dcterms:created xsi:type="dcterms:W3CDTF">2022-08-16T13:44:10Z</dcterms:created>
  <dcterms:modified xsi:type="dcterms:W3CDTF">2023-02-24T20:33:57Z</dcterms:modified>
</cp:coreProperties>
</file>