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fpccq-my.sharepoint.com/personal/rbicaba_pgq_ca/Documents/Bureau/CGQ/"/>
    </mc:Choice>
  </mc:AlternateContent>
  <xr:revisionPtr revIDLastSave="0" documentId="8_{F2FA5E6C-03BC-414E-AC3D-D91E4C9A69B0}" xr6:coauthVersionLast="47" xr6:coauthVersionMax="47" xr10:uidLastSave="{00000000-0000-0000-0000-000000000000}"/>
  <bookViews>
    <workbookView xWindow="-120" yWindow="-120" windowWidth="29040" windowHeight="15840" firstSheet="3" activeTab="17" xr2:uid="{46BA2E5C-FF92-4135-AB58-C749BADE77E8}"/>
  </bookViews>
  <sheets>
    <sheet name="GuideUtilisation" sheetId="1" r:id="rId1"/>
    <sheet name="Saisies" sheetId="2" r:id="rId2"/>
    <sheet name="Gains agronomiques" sheetId="17" state="hidden" r:id="rId3"/>
    <sheet name="Maïs-grain" sheetId="12" r:id="rId4"/>
    <sheet name="Soya" sheetId="13" r:id="rId5"/>
    <sheet name="Orge" sheetId="14" r:id="rId6"/>
    <sheet name="Avoine" sheetId="15" r:id="rId7"/>
    <sheet name="Blé_d'automne" sheetId="20" r:id="rId8"/>
    <sheet name="Blé_printemps" sheetId="24" r:id="rId9"/>
    <sheet name="Seigle" sheetId="28" r:id="rId10"/>
    <sheet name="Seigle_hybride" sheetId="29" r:id="rId11"/>
    <sheet name="Cultures de couverture" sheetId="26" state="hidden" r:id="rId12"/>
    <sheet name="ASRA_Calculs" sheetId="22" state="hidden" r:id="rId13"/>
    <sheet name="Rendements_CECPA" sheetId="4" state="hidden" r:id="rId14"/>
    <sheet name="Prix_CECPA" sheetId="5" state="hidden" r:id="rId15"/>
    <sheet name="Intermédiaire_Prod-Résultats" sheetId="21" state="hidden" r:id="rId16"/>
    <sheet name="Résultats détaillés" sheetId="19" r:id="rId17"/>
    <sheet name="Résultats sommaires" sheetId="30" r:id="rId18"/>
  </sheets>
  <definedNames>
    <definedName name="Prix">Prix_CECPA!$A$2:$B$10</definedName>
    <definedName name="Prix_Titre">Prix_CECPA!$A$2:$B$2</definedName>
    <definedName name="Rend">Rendements_CECPA!$A$2:$B$10</definedName>
    <definedName name="Rend_Titre">Rendements_CECPA!$A$2:$B$2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V27" i="21" l="1"/>
  <c r="BV25" i="21"/>
  <c r="BV5" i="21"/>
  <c r="BS27" i="21"/>
  <c r="BS25" i="21"/>
  <c r="BS5" i="21"/>
  <c r="BP27" i="21"/>
  <c r="BP25" i="21"/>
  <c r="BP5" i="21"/>
  <c r="BM27" i="21"/>
  <c r="BM25" i="21"/>
  <c r="BM5" i="21"/>
  <c r="BJ27" i="21"/>
  <c r="BJ25" i="21"/>
  <c r="BJ5" i="21"/>
  <c r="BG27" i="21"/>
  <c r="BG25" i="21"/>
  <c r="BG5" i="21"/>
  <c r="BD27" i="21"/>
  <c r="BD25" i="21"/>
  <c r="BD5" i="21"/>
  <c r="BA27" i="21"/>
  <c r="BA25" i="21"/>
  <c r="BA16" i="21"/>
  <c r="BA5" i="21"/>
  <c r="Z27" i="21"/>
  <c r="Z25" i="21"/>
  <c r="Z5" i="21"/>
  <c r="W27" i="21"/>
  <c r="W25" i="21"/>
  <c r="W5" i="21"/>
  <c r="T27" i="21"/>
  <c r="T25" i="21"/>
  <c r="T5" i="21"/>
  <c r="Q27" i="21"/>
  <c r="Q25" i="21"/>
  <c r="Q5" i="21"/>
  <c r="N27" i="21"/>
  <c r="N25" i="21"/>
  <c r="N5" i="21"/>
  <c r="K27" i="21"/>
  <c r="K25" i="21"/>
  <c r="K5" i="21"/>
  <c r="H27" i="21"/>
  <c r="H25" i="21"/>
  <c r="H5" i="21"/>
  <c r="E27" i="21"/>
  <c r="E25" i="21"/>
  <c r="E16" i="21"/>
  <c r="E5" i="21"/>
  <c r="BU27" i="21"/>
  <c r="BU25" i="21"/>
  <c r="BU5" i="21"/>
  <c r="BR27" i="21"/>
  <c r="BR25" i="21"/>
  <c r="BR5" i="21"/>
  <c r="BO27" i="21"/>
  <c r="BO25" i="21"/>
  <c r="BO5" i="21"/>
  <c r="BL27" i="21"/>
  <c r="BL25" i="21"/>
  <c r="BL5" i="21"/>
  <c r="BI27" i="21"/>
  <c r="BI25" i="21"/>
  <c r="BI5" i="21"/>
  <c r="BF27" i="21"/>
  <c r="BF25" i="21"/>
  <c r="BF5" i="21"/>
  <c r="BC27" i="21"/>
  <c r="BC25" i="21"/>
  <c r="BC5" i="21"/>
  <c r="AZ27" i="21"/>
  <c r="AZ25" i="21"/>
  <c r="AZ16" i="21"/>
  <c r="AZ5" i="21"/>
  <c r="Y27" i="21"/>
  <c r="Y25" i="21"/>
  <c r="Y5" i="21"/>
  <c r="V27" i="21"/>
  <c r="V25" i="21"/>
  <c r="V5" i="21"/>
  <c r="S27" i="21"/>
  <c r="S25" i="21"/>
  <c r="S5" i="21"/>
  <c r="P27" i="21"/>
  <c r="P25" i="21"/>
  <c r="P5" i="21"/>
  <c r="M27" i="21"/>
  <c r="M25" i="21"/>
  <c r="M5" i="21"/>
  <c r="J27" i="21"/>
  <c r="J25" i="21"/>
  <c r="J5" i="21"/>
  <c r="G27" i="21"/>
  <c r="G25" i="21"/>
  <c r="G5" i="21"/>
  <c r="D27" i="21"/>
  <c r="D25" i="21"/>
  <c r="D16" i="21"/>
  <c r="D5" i="21"/>
  <c r="AB41" i="21"/>
  <c r="D41" i="21"/>
  <c r="E41" i="21" s="1"/>
  <c r="B39" i="2"/>
  <c r="B45" i="2"/>
  <c r="B46" i="2"/>
  <c r="B42" i="2"/>
  <c r="B43" i="2"/>
  <c r="B44" i="2"/>
  <c r="B41" i="2"/>
  <c r="AZ41" i="21"/>
  <c r="BA41" i="21" s="1"/>
  <c r="AC41" i="21"/>
  <c r="D15" i="21"/>
  <c r="A19" i="19"/>
  <c r="A32" i="19" s="1"/>
  <c r="A20" i="19"/>
  <c r="A33" i="19" s="1"/>
  <c r="A21" i="19"/>
  <c r="N21" i="19" s="1"/>
  <c r="Q35" i="30" s="1"/>
  <c r="A22" i="19"/>
  <c r="N22" i="19" s="1"/>
  <c r="Q36" i="30" s="1"/>
  <c r="A23" i="19"/>
  <c r="A36" i="19" s="1"/>
  <c r="A24" i="19"/>
  <c r="A37" i="19" s="1"/>
  <c r="A18" i="19"/>
  <c r="A31" i="19" s="1"/>
  <c r="N31" i="19" s="1"/>
  <c r="Q64" i="30" s="1"/>
  <c r="N23" i="19"/>
  <c r="Q37" i="30" s="1"/>
  <c r="N24" i="19"/>
  <c r="Q38" i="30" s="1"/>
  <c r="N6" i="19"/>
  <c r="Q4" i="30" s="1"/>
  <c r="N7" i="19"/>
  <c r="Q5" i="30" s="1"/>
  <c r="N8" i="19"/>
  <c r="Q6" i="30" s="1"/>
  <c r="N9" i="19"/>
  <c r="Q7" i="30" s="1"/>
  <c r="N10" i="19"/>
  <c r="N11" i="19"/>
  <c r="N5" i="19"/>
  <c r="Q3" i="30" s="1"/>
  <c r="Q8" i="30"/>
  <c r="Q9" i="30"/>
  <c r="A33" i="30"/>
  <c r="A37" i="30"/>
  <c r="A38" i="30"/>
  <c r="A4" i="30"/>
  <c r="A5" i="30"/>
  <c r="A6" i="30"/>
  <c r="A7" i="30"/>
  <c r="A8" i="30"/>
  <c r="A9" i="30"/>
  <c r="A3" i="30"/>
  <c r="BO9" i="21"/>
  <c r="BP9" i="21" s="1"/>
  <c r="BL9" i="21"/>
  <c r="BM9" i="21" s="1"/>
  <c r="BI9" i="21"/>
  <c r="BJ9" i="21" s="1"/>
  <c r="BF9" i="21"/>
  <c r="BG9" i="21" s="1"/>
  <c r="BC9" i="21"/>
  <c r="BD9" i="21" s="1"/>
  <c r="AZ9" i="21"/>
  <c r="BA9" i="21" s="1"/>
  <c r="AQ9" i="21"/>
  <c r="AR9" i="21" s="1"/>
  <c r="AN9" i="21"/>
  <c r="AO9" i="21" s="1"/>
  <c r="AK9" i="21"/>
  <c r="AL9" i="21" s="1"/>
  <c r="AH9" i="21"/>
  <c r="AI9" i="21" s="1"/>
  <c r="AF9" i="21"/>
  <c r="AE9" i="21"/>
  <c r="AB9" i="21"/>
  <c r="AC9" i="21" s="1"/>
  <c r="S9" i="21"/>
  <c r="T9" i="21" s="1"/>
  <c r="P9" i="21"/>
  <c r="Q9" i="21" s="1"/>
  <c r="N9" i="21"/>
  <c r="M9" i="21"/>
  <c r="J9" i="21"/>
  <c r="K9" i="21" s="1"/>
  <c r="G9" i="21"/>
  <c r="H9" i="21" s="1"/>
  <c r="D9" i="21"/>
  <c r="E9" i="21" s="1"/>
  <c r="H8" i="29"/>
  <c r="H8" i="28"/>
  <c r="H8" i="24"/>
  <c r="H8" i="20"/>
  <c r="H6" i="15"/>
  <c r="H8" i="15"/>
  <c r="H6" i="14"/>
  <c r="H8" i="14"/>
  <c r="H6" i="13"/>
  <c r="H8" i="13"/>
  <c r="B10" i="4"/>
  <c r="H8" i="12"/>
  <c r="B10" i="5"/>
  <c r="B9" i="5"/>
  <c r="N19" i="19" l="1"/>
  <c r="Q33" i="30" s="1"/>
  <c r="N18" i="19"/>
  <c r="Q32" i="30" s="1"/>
  <c r="A35" i="30"/>
  <c r="A32" i="30"/>
  <c r="A34" i="30"/>
  <c r="N20" i="19"/>
  <c r="Q34" i="30" s="1"/>
  <c r="N37" i="19"/>
  <c r="Q70" i="30" s="1"/>
  <c r="A70" i="30"/>
  <c r="N33" i="19"/>
  <c r="Q66" i="30" s="1"/>
  <c r="A66" i="30"/>
  <c r="N36" i="19"/>
  <c r="Q69" i="30" s="1"/>
  <c r="A69" i="30"/>
  <c r="A65" i="30"/>
  <c r="N32" i="19"/>
  <c r="Q65" i="30" s="1"/>
  <c r="A35" i="19"/>
  <c r="A34" i="19"/>
  <c r="A64" i="30"/>
  <c r="A36" i="30"/>
  <c r="A67" i="30" l="1"/>
  <c r="N34" i="19"/>
  <c r="Q67" i="30" s="1"/>
  <c r="N35" i="19"/>
  <c r="Q68" i="30" s="1"/>
  <c r="A68" i="30"/>
  <c r="BU9" i="21"/>
  <c r="BV9" i="21" s="1"/>
  <c r="Y9" i="21"/>
  <c r="Z9" i="21" s="1"/>
  <c r="AW9" i="21"/>
  <c r="AX9" i="21" s="1"/>
  <c r="BR9" i="21"/>
  <c r="BS9" i="21" s="1"/>
  <c r="V9" i="21"/>
  <c r="W9" i="21" s="1"/>
  <c r="AT9" i="21"/>
  <c r="AU9" i="21" s="1"/>
  <c r="B50" i="2"/>
  <c r="H51" i="29"/>
  <c r="H52" i="29"/>
  <c r="H50" i="29"/>
  <c r="H41" i="29"/>
  <c r="H42" i="29"/>
  <c r="H43" i="29"/>
  <c r="H44" i="29"/>
  <c r="H40" i="29"/>
  <c r="H35" i="29"/>
  <c r="H34" i="29"/>
  <c r="H16" i="29"/>
  <c r="H17" i="29"/>
  <c r="H18" i="29"/>
  <c r="H20" i="29"/>
  <c r="H21" i="29"/>
  <c r="H22" i="29"/>
  <c r="H23" i="29"/>
  <c r="H24" i="29"/>
  <c r="H25" i="29"/>
  <c r="H26" i="29"/>
  <c r="H28" i="29"/>
  <c r="H29" i="29"/>
  <c r="H30" i="29"/>
  <c r="H15" i="29"/>
  <c r="H6" i="29"/>
  <c r="H51" i="28"/>
  <c r="H52" i="28"/>
  <c r="H50" i="28"/>
  <c r="H41" i="28"/>
  <c r="H42" i="28"/>
  <c r="H43" i="28"/>
  <c r="H44" i="28"/>
  <c r="H40" i="28"/>
  <c r="H35" i="28"/>
  <c r="H34" i="28"/>
  <c r="H16" i="28"/>
  <c r="H17" i="28"/>
  <c r="H18" i="28"/>
  <c r="H20" i="28"/>
  <c r="H21" i="28"/>
  <c r="H22" i="28"/>
  <c r="H23" i="28"/>
  <c r="H24" i="28"/>
  <c r="H25" i="28"/>
  <c r="H26" i="28"/>
  <c r="H28" i="28"/>
  <c r="H29" i="28"/>
  <c r="H30" i="28"/>
  <c r="H15" i="28"/>
  <c r="H6" i="28"/>
  <c r="H51" i="24"/>
  <c r="H52" i="24"/>
  <c r="H50" i="24"/>
  <c r="H41" i="24"/>
  <c r="H42" i="24"/>
  <c r="H43" i="24"/>
  <c r="H44" i="24"/>
  <c r="H40" i="24"/>
  <c r="H35" i="24"/>
  <c r="H34" i="24"/>
  <c r="H16" i="24"/>
  <c r="H17" i="24"/>
  <c r="H18" i="24"/>
  <c r="H20" i="24"/>
  <c r="H21" i="24"/>
  <c r="H22" i="24"/>
  <c r="H23" i="24"/>
  <c r="H24" i="24"/>
  <c r="H25" i="24"/>
  <c r="H26" i="24"/>
  <c r="H28" i="24"/>
  <c r="H29" i="24"/>
  <c r="H30" i="24"/>
  <c r="H15" i="24"/>
  <c r="H6" i="24"/>
  <c r="H51" i="20"/>
  <c r="H52" i="20"/>
  <c r="H50" i="20"/>
  <c r="H41" i="20"/>
  <c r="H42" i="20"/>
  <c r="H43" i="20"/>
  <c r="H44" i="20"/>
  <c r="H40" i="20"/>
  <c r="H35" i="20"/>
  <c r="H34" i="20"/>
  <c r="H16" i="20"/>
  <c r="H17" i="20"/>
  <c r="H18" i="20"/>
  <c r="H20" i="20"/>
  <c r="H21" i="20"/>
  <c r="H22" i="20"/>
  <c r="H23" i="20"/>
  <c r="H24" i="20"/>
  <c r="H25" i="20"/>
  <c r="H26" i="20"/>
  <c r="H28" i="20"/>
  <c r="H29" i="20"/>
  <c r="H30" i="20"/>
  <c r="H15" i="20"/>
  <c r="H6" i="20"/>
  <c r="H51" i="15"/>
  <c r="H52" i="15"/>
  <c r="H50" i="15"/>
  <c r="H41" i="15"/>
  <c r="H42" i="15"/>
  <c r="H43" i="15"/>
  <c r="H44" i="15"/>
  <c r="H40" i="15"/>
  <c r="H35" i="15"/>
  <c r="H34" i="15"/>
  <c r="H16" i="15"/>
  <c r="H17" i="15"/>
  <c r="H18" i="15"/>
  <c r="H20" i="15"/>
  <c r="H21" i="15"/>
  <c r="H22" i="15"/>
  <c r="H23" i="15"/>
  <c r="H24" i="15"/>
  <c r="H25" i="15"/>
  <c r="H26" i="15"/>
  <c r="H28" i="15"/>
  <c r="H29" i="15"/>
  <c r="H30" i="15"/>
  <c r="H15" i="15"/>
  <c r="H51" i="14"/>
  <c r="H52" i="14"/>
  <c r="H50" i="14"/>
  <c r="H41" i="14"/>
  <c r="H42" i="14"/>
  <c r="H43" i="14"/>
  <c r="H44" i="14"/>
  <c r="H40" i="14"/>
  <c r="H35" i="14"/>
  <c r="H34" i="14"/>
  <c r="H16" i="14"/>
  <c r="H17" i="14"/>
  <c r="H18" i="14"/>
  <c r="H20" i="14"/>
  <c r="H21" i="14"/>
  <c r="H22" i="14"/>
  <c r="H23" i="14"/>
  <c r="H24" i="14"/>
  <c r="H25" i="14"/>
  <c r="H26" i="14"/>
  <c r="H28" i="14"/>
  <c r="H29" i="14"/>
  <c r="H30" i="14"/>
  <c r="H15" i="14"/>
  <c r="H51" i="13"/>
  <c r="H52" i="13"/>
  <c r="H50" i="13"/>
  <c r="H41" i="13"/>
  <c r="H42" i="13"/>
  <c r="H43" i="13"/>
  <c r="H44" i="13"/>
  <c r="H40" i="13"/>
  <c r="H16" i="13"/>
  <c r="H17" i="13"/>
  <c r="H18" i="13"/>
  <c r="H20" i="13"/>
  <c r="H21" i="13"/>
  <c r="H22" i="13"/>
  <c r="H23" i="13"/>
  <c r="H24" i="13"/>
  <c r="H25" i="13"/>
  <c r="H26" i="13"/>
  <c r="H28" i="13"/>
  <c r="H29" i="13"/>
  <c r="H30" i="13"/>
  <c r="H15" i="13"/>
  <c r="H51" i="12"/>
  <c r="H52" i="12"/>
  <c r="H50" i="12"/>
  <c r="H41" i="12"/>
  <c r="H42" i="12"/>
  <c r="H43" i="12"/>
  <c r="H44" i="12"/>
  <c r="H40" i="12"/>
  <c r="H16" i="12"/>
  <c r="H17" i="12"/>
  <c r="H18" i="12"/>
  <c r="H20" i="12"/>
  <c r="H21" i="12"/>
  <c r="H22" i="12"/>
  <c r="H23" i="12"/>
  <c r="H24" i="12"/>
  <c r="H25" i="12"/>
  <c r="H26" i="12"/>
  <c r="H28" i="12"/>
  <c r="H29" i="12"/>
  <c r="H30" i="12"/>
  <c r="H33" i="12"/>
  <c r="H34" i="12"/>
  <c r="H35" i="12"/>
  <c r="H15" i="12"/>
  <c r="H6" i="12"/>
  <c r="E31" i="28" l="1"/>
  <c r="E27" i="28"/>
  <c r="E19" i="28"/>
  <c r="BU47" i="21"/>
  <c r="BV47" i="21" s="1"/>
  <c r="BU48" i="21"/>
  <c r="BV48" i="21" s="1"/>
  <c r="BU46" i="21"/>
  <c r="BV46" i="21" s="1"/>
  <c r="BU38" i="21"/>
  <c r="BV38" i="21" s="1"/>
  <c r="BU39" i="21"/>
  <c r="BV39" i="21" s="1"/>
  <c r="BU40" i="21"/>
  <c r="BV40" i="21" s="1"/>
  <c r="BU41" i="21"/>
  <c r="BV41" i="21" s="1"/>
  <c r="BU37" i="21"/>
  <c r="BV37" i="21" s="1"/>
  <c r="BU32" i="21"/>
  <c r="BV32" i="21" s="1"/>
  <c r="BU31" i="21"/>
  <c r="BV31" i="21" s="1"/>
  <c r="BU28" i="21"/>
  <c r="BV28" i="21" s="1"/>
  <c r="BU26" i="21"/>
  <c r="BV26" i="21" s="1"/>
  <c r="BU20" i="21"/>
  <c r="BV20" i="21" s="1"/>
  <c r="BU21" i="21"/>
  <c r="BV21" i="21" s="1"/>
  <c r="BU22" i="21"/>
  <c r="BV22" i="21" s="1"/>
  <c r="BU23" i="21"/>
  <c r="BV23" i="21" s="1"/>
  <c r="BU24" i="21"/>
  <c r="BV24" i="21" s="1"/>
  <c r="BU19" i="21"/>
  <c r="BV19" i="21" s="1"/>
  <c r="BU16" i="21"/>
  <c r="BV16" i="21" s="1"/>
  <c r="BU17" i="21"/>
  <c r="BV17" i="21" s="1"/>
  <c r="BU18" i="21"/>
  <c r="BV18" i="21" s="1"/>
  <c r="BU15" i="21"/>
  <c r="BV15" i="21" s="1"/>
  <c r="BU7" i="21"/>
  <c r="BV7" i="21" s="1"/>
  <c r="BS2" i="21"/>
  <c r="BV2" i="21" s="1"/>
  <c r="AW47" i="21"/>
  <c r="AX47" i="21" s="1"/>
  <c r="AW48" i="21"/>
  <c r="AX48" i="21" s="1"/>
  <c r="AW46" i="21"/>
  <c r="AW38" i="21"/>
  <c r="AX38" i="21" s="1"/>
  <c r="AW39" i="21"/>
  <c r="AX39" i="21" s="1"/>
  <c r="AW40" i="21"/>
  <c r="AX40" i="21" s="1"/>
  <c r="AW41" i="21"/>
  <c r="AW37" i="21"/>
  <c r="AX37" i="21" s="1"/>
  <c r="AW32" i="21"/>
  <c r="AX32" i="21" s="1"/>
  <c r="AW31" i="21"/>
  <c r="AX31" i="21" s="1"/>
  <c r="AW28" i="21"/>
  <c r="AX28" i="21" s="1"/>
  <c r="AW26" i="21"/>
  <c r="AX26" i="21" s="1"/>
  <c r="AW20" i="21"/>
  <c r="AX20" i="21" s="1"/>
  <c r="AW21" i="21"/>
  <c r="AX21" i="21" s="1"/>
  <c r="AW22" i="21"/>
  <c r="AX22" i="21" s="1"/>
  <c r="AW23" i="21"/>
  <c r="AX23" i="21" s="1"/>
  <c r="AW24" i="21"/>
  <c r="AX24" i="21" s="1"/>
  <c r="AW19" i="21"/>
  <c r="AX19" i="21" s="1"/>
  <c r="AW16" i="21"/>
  <c r="AX16" i="21" s="1"/>
  <c r="AW17" i="21"/>
  <c r="AX17" i="21" s="1"/>
  <c r="AW18" i="21"/>
  <c r="AX18" i="21" s="1"/>
  <c r="AW15" i="21"/>
  <c r="AX15" i="21" s="1"/>
  <c r="AW7" i="21"/>
  <c r="AX7" i="21" s="1"/>
  <c r="AX2" i="21"/>
  <c r="AU2" i="21"/>
  <c r="Y47" i="21"/>
  <c r="Z47" i="21" s="1"/>
  <c r="Y48" i="21"/>
  <c r="Z48" i="21" s="1"/>
  <c r="Y46" i="21"/>
  <c r="Z46" i="21" s="1"/>
  <c r="Y38" i="21"/>
  <c r="Z38" i="21" s="1"/>
  <c r="Y39" i="21"/>
  <c r="Z39" i="21" s="1"/>
  <c r="Y40" i="21"/>
  <c r="Z40" i="21" s="1"/>
  <c r="Y41" i="21"/>
  <c r="Z41" i="21" s="1"/>
  <c r="Y37" i="21"/>
  <c r="Z37" i="21" s="1"/>
  <c r="Y32" i="21"/>
  <c r="Z32" i="21" s="1"/>
  <c r="Y31" i="21"/>
  <c r="Z31" i="21" s="1"/>
  <c r="Y28" i="21"/>
  <c r="Z28" i="21" s="1"/>
  <c r="Y26" i="21"/>
  <c r="Z26" i="21" s="1"/>
  <c r="Y24" i="21"/>
  <c r="Z24" i="21" s="1"/>
  <c r="Y20" i="21"/>
  <c r="Z20" i="21" s="1"/>
  <c r="Y21" i="21"/>
  <c r="Z21" i="21" s="1"/>
  <c r="Y22" i="21"/>
  <c r="Z22" i="21" s="1"/>
  <c r="Y23" i="21"/>
  <c r="Z23" i="21" s="1"/>
  <c r="Y19" i="21"/>
  <c r="Z19" i="21" s="1"/>
  <c r="Y16" i="21"/>
  <c r="Z16" i="21" s="1"/>
  <c r="Y17" i="21"/>
  <c r="Z17" i="21" s="1"/>
  <c r="Y18" i="21"/>
  <c r="Z18" i="21" s="1"/>
  <c r="Y15" i="21"/>
  <c r="Y7" i="21"/>
  <c r="Z7" i="21" s="1"/>
  <c r="E31" i="29"/>
  <c r="E27" i="29"/>
  <c r="E19" i="29"/>
  <c r="D26" i="29"/>
  <c r="D29" i="29"/>
  <c r="E5" i="29"/>
  <c r="BU6" i="21" s="1"/>
  <c r="B28" i="2"/>
  <c r="B15" i="2"/>
  <c r="Y6" i="21" l="1"/>
  <c r="AW6" i="21"/>
  <c r="AW25" i="21"/>
  <c r="E4" i="29"/>
  <c r="AX25" i="21"/>
  <c r="G4" i="29"/>
  <c r="AX27" i="21"/>
  <c r="AW27" i="21"/>
  <c r="BU29" i="21"/>
  <c r="AW49" i="21"/>
  <c r="BV49" i="21"/>
  <c r="Y49" i="21"/>
  <c r="AW42" i="21"/>
  <c r="BV42" i="21"/>
  <c r="E32" i="28"/>
  <c r="BU49" i="21"/>
  <c r="AX46" i="21"/>
  <c r="AX49" i="21" s="1"/>
  <c r="AX41" i="21"/>
  <c r="AX42" i="21" s="1"/>
  <c r="BU42" i="21"/>
  <c r="Z15" i="21"/>
  <c r="Z49" i="21"/>
  <c r="Y42" i="21"/>
  <c r="Z42" i="21"/>
  <c r="E32" i="29"/>
  <c r="BV29" i="21" l="1"/>
  <c r="BV8" i="21"/>
  <c r="Z8" i="21"/>
  <c r="AW5" i="21"/>
  <c r="AW8" i="21" s="1"/>
  <c r="AW11" i="21" s="1"/>
  <c r="E7" i="29"/>
  <c r="E9" i="29" s="1"/>
  <c r="H4" i="29"/>
  <c r="G7" i="29"/>
  <c r="AX29" i="21"/>
  <c r="AW29" i="21"/>
  <c r="AX5" i="21"/>
  <c r="AX8" i="21" s="1"/>
  <c r="Y29" i="21"/>
  <c r="Z29" i="21"/>
  <c r="Y8" i="21" l="1"/>
  <c r="Y11" i="21" s="1"/>
  <c r="Y34" i="21" s="1"/>
  <c r="D11" i="19" s="1"/>
  <c r="G9" i="29"/>
  <c r="H7" i="29"/>
  <c r="AW34" i="21"/>
  <c r="G11" i="19" s="1"/>
  <c r="BU8" i="21"/>
  <c r="BU11" i="21" s="1"/>
  <c r="BU34" i="21" s="1"/>
  <c r="AW44" i="21" l="1"/>
  <c r="AW51" i="21" s="1"/>
  <c r="G37" i="19" s="1"/>
  <c r="J11" i="19"/>
  <c r="BU44" i="21"/>
  <c r="J24" i="19" s="1"/>
  <c r="BU51" i="21"/>
  <c r="J37" i="19" s="1"/>
  <c r="Y44" i="21"/>
  <c r="Y51" i="21" s="1"/>
  <c r="D37" i="19" s="1"/>
  <c r="D24" i="19" l="1"/>
  <c r="G24" i="19"/>
  <c r="G53" i="29"/>
  <c r="E53" i="29"/>
  <c r="G45" i="29"/>
  <c r="E45" i="29"/>
  <c r="G31" i="29"/>
  <c r="G27" i="29"/>
  <c r="G19" i="29"/>
  <c r="G5" i="29"/>
  <c r="E31" i="24"/>
  <c r="E27" i="24"/>
  <c r="E19" i="24"/>
  <c r="E31" i="20"/>
  <c r="E27" i="20"/>
  <c r="E19" i="20"/>
  <c r="E19" i="15"/>
  <c r="E19" i="14"/>
  <c r="E31" i="13"/>
  <c r="E27" i="13"/>
  <c r="E19" i="13"/>
  <c r="E19" i="12"/>
  <c r="BR48" i="21"/>
  <c r="BS48" i="21" s="1"/>
  <c r="BR47" i="21"/>
  <c r="BS47" i="21" s="1"/>
  <c r="BR46" i="21"/>
  <c r="BR41" i="21"/>
  <c r="BR40" i="21"/>
  <c r="BS40" i="21" s="1"/>
  <c r="BR39" i="21"/>
  <c r="BS39" i="21" s="1"/>
  <c r="BR38" i="21"/>
  <c r="BS38" i="21" s="1"/>
  <c r="BR37" i="21"/>
  <c r="BS37" i="21" s="1"/>
  <c r="BR32" i="21"/>
  <c r="BS32" i="21" s="1"/>
  <c r="BR31" i="21"/>
  <c r="BS31" i="21" s="1"/>
  <c r="BR28" i="21"/>
  <c r="BS28" i="21" s="1"/>
  <c r="BR26" i="21"/>
  <c r="BS26" i="21" s="1"/>
  <c r="BR24" i="21"/>
  <c r="BS24" i="21" s="1"/>
  <c r="BR23" i="21"/>
  <c r="BS23" i="21" s="1"/>
  <c r="BR22" i="21"/>
  <c r="BS22" i="21" s="1"/>
  <c r="BR21" i="21"/>
  <c r="BS21" i="21" s="1"/>
  <c r="BR20" i="21"/>
  <c r="BS20" i="21" s="1"/>
  <c r="BR19" i="21"/>
  <c r="BS19" i="21" s="1"/>
  <c r="BR18" i="21"/>
  <c r="BS18" i="21" s="1"/>
  <c r="BR17" i="21"/>
  <c r="BS17" i="21" s="1"/>
  <c r="BR16" i="21"/>
  <c r="BS16" i="21" s="1"/>
  <c r="BR15" i="21"/>
  <c r="BS15" i="21" s="1"/>
  <c r="BR7" i="21"/>
  <c r="BS7" i="21" s="1"/>
  <c r="AT48" i="21"/>
  <c r="AU48" i="21" s="1"/>
  <c r="AT47" i="21"/>
  <c r="AU47" i="21" s="1"/>
  <c r="AT46" i="21"/>
  <c r="AU46" i="21" s="1"/>
  <c r="AT41" i="21"/>
  <c r="AU41" i="21" s="1"/>
  <c r="AT40" i="21"/>
  <c r="AU40" i="21" s="1"/>
  <c r="AT39" i="21"/>
  <c r="AU39" i="21" s="1"/>
  <c r="AT38" i="21"/>
  <c r="AU38" i="21" s="1"/>
  <c r="AT37" i="21"/>
  <c r="AU37" i="21" s="1"/>
  <c r="AT32" i="21"/>
  <c r="AU32" i="21" s="1"/>
  <c r="AT31" i="21"/>
  <c r="AU31" i="21" s="1"/>
  <c r="AT28" i="21"/>
  <c r="AU28" i="21" s="1"/>
  <c r="AT26" i="21"/>
  <c r="AU26" i="21" s="1"/>
  <c r="AT24" i="21"/>
  <c r="AU24" i="21" s="1"/>
  <c r="AT23" i="21"/>
  <c r="AU23" i="21" s="1"/>
  <c r="AT22" i="21"/>
  <c r="AU22" i="21" s="1"/>
  <c r="AT21" i="21"/>
  <c r="AU21" i="21" s="1"/>
  <c r="AT20" i="21"/>
  <c r="AU20" i="21" s="1"/>
  <c r="AT19" i="21"/>
  <c r="AU19" i="21" s="1"/>
  <c r="AT18" i="21"/>
  <c r="AU18" i="21" s="1"/>
  <c r="AT17" i="21"/>
  <c r="AU17" i="21" s="1"/>
  <c r="AT16" i="21"/>
  <c r="AU16" i="21" s="1"/>
  <c r="AT15" i="21"/>
  <c r="AU15" i="21" s="1"/>
  <c r="AT7" i="21"/>
  <c r="AU7" i="21" s="1"/>
  <c r="D26" i="28"/>
  <c r="D29" i="28"/>
  <c r="V48" i="21"/>
  <c r="W48" i="21" s="1"/>
  <c r="V47" i="21"/>
  <c r="W47" i="21" s="1"/>
  <c r="V46" i="21"/>
  <c r="W46" i="21" s="1"/>
  <c r="V41" i="21"/>
  <c r="W41" i="21" s="1"/>
  <c r="V40" i="21"/>
  <c r="W40" i="21" s="1"/>
  <c r="V39" i="21"/>
  <c r="W39" i="21" s="1"/>
  <c r="V38" i="21"/>
  <c r="W38" i="21" s="1"/>
  <c r="V37" i="21"/>
  <c r="W37" i="21" s="1"/>
  <c r="V32" i="21"/>
  <c r="W32" i="21" s="1"/>
  <c r="V31" i="21"/>
  <c r="W31" i="21" s="1"/>
  <c r="V28" i="21"/>
  <c r="W28" i="21" s="1"/>
  <c r="V26" i="21"/>
  <c r="W26" i="21" s="1"/>
  <c r="V24" i="21"/>
  <c r="W24" i="21" s="1"/>
  <c r="V23" i="21"/>
  <c r="W23" i="21" s="1"/>
  <c r="V20" i="21"/>
  <c r="W20" i="21" s="1"/>
  <c r="V21" i="21"/>
  <c r="W21" i="21" s="1"/>
  <c r="V22" i="21"/>
  <c r="W22" i="21" s="1"/>
  <c r="V19" i="21"/>
  <c r="W19" i="21" s="1"/>
  <c r="V16" i="21"/>
  <c r="W16" i="21" s="1"/>
  <c r="V17" i="21"/>
  <c r="W17" i="21" s="1"/>
  <c r="V18" i="21"/>
  <c r="W18" i="21" s="1"/>
  <c r="V15" i="21"/>
  <c r="V7" i="21"/>
  <c r="W7" i="21" s="1"/>
  <c r="G5" i="28"/>
  <c r="AU6" i="21" s="1"/>
  <c r="E32" i="13" l="1"/>
  <c r="H5" i="29"/>
  <c r="Z6" i="21"/>
  <c r="Z11" i="21" s="1"/>
  <c r="Z34" i="21" s="1"/>
  <c r="AX6" i="21"/>
  <c r="AX11" i="21" s="1"/>
  <c r="AX34" i="21" s="1"/>
  <c r="BV6" i="21"/>
  <c r="BV11" i="21" s="1"/>
  <c r="BV34" i="21" s="1"/>
  <c r="W6" i="21"/>
  <c r="BS6" i="21"/>
  <c r="E32" i="24"/>
  <c r="BR49" i="21"/>
  <c r="G32" i="29"/>
  <c r="BS46" i="21"/>
  <c r="BS49" i="21" s="1"/>
  <c r="AU49" i="21"/>
  <c r="AU42" i="21"/>
  <c r="AT42" i="21"/>
  <c r="BR42" i="21"/>
  <c r="AT49" i="21"/>
  <c r="BS41" i="21"/>
  <c r="BS42" i="21" s="1"/>
  <c r="E32" i="20"/>
  <c r="W15" i="21"/>
  <c r="V42" i="21"/>
  <c r="V49" i="21"/>
  <c r="W49" i="21"/>
  <c r="W42" i="21"/>
  <c r="AX44" i="21" l="1"/>
  <c r="T11" i="19"/>
  <c r="W11" i="19"/>
  <c r="BV44" i="21"/>
  <c r="Z44" i="21"/>
  <c r="Q11" i="19"/>
  <c r="E5" i="28"/>
  <c r="G53" i="28"/>
  <c r="E53" i="28"/>
  <c r="G45" i="28"/>
  <c r="E45" i="28"/>
  <c r="G31" i="28"/>
  <c r="G27" i="28"/>
  <c r="G19" i="28"/>
  <c r="B27" i="2"/>
  <c r="B14" i="2"/>
  <c r="W24" i="19" l="1"/>
  <c r="BV51" i="21"/>
  <c r="W37" i="19" s="1"/>
  <c r="Q24" i="19"/>
  <c r="Z51" i="21"/>
  <c r="Q37" i="19" s="1"/>
  <c r="AX51" i="21"/>
  <c r="T37" i="19" s="1"/>
  <c r="T24" i="19"/>
  <c r="AT6" i="21"/>
  <c r="V6" i="21"/>
  <c r="BR6" i="21"/>
  <c r="H5" i="28"/>
  <c r="E4" i="28"/>
  <c r="G11" i="29"/>
  <c r="G37" i="29" s="1"/>
  <c r="G47" i="29" s="1"/>
  <c r="G55" i="29" s="1"/>
  <c r="E11" i="29"/>
  <c r="E37" i="29" s="1"/>
  <c r="E47" i="29" s="1"/>
  <c r="E55" i="29" s="1"/>
  <c r="AT27" i="21"/>
  <c r="AU27" i="21"/>
  <c r="AT25" i="21"/>
  <c r="G4" i="28"/>
  <c r="AU25" i="21"/>
  <c r="G32" i="28"/>
  <c r="E7" i="28" l="1"/>
  <c r="E9" i="28" s="1"/>
  <c r="H4" i="28"/>
  <c r="G7" i="28"/>
  <c r="BR8" i="21"/>
  <c r="BR11" i="21" s="1"/>
  <c r="AT5" i="21"/>
  <c r="E11" i="28"/>
  <c r="E37" i="28" s="1"/>
  <c r="E47" i="28" s="1"/>
  <c r="E55" i="28" s="1"/>
  <c r="AU29" i="21"/>
  <c r="AU5" i="21"/>
  <c r="AT29" i="21"/>
  <c r="BS29" i="21"/>
  <c r="BR29" i="21"/>
  <c r="W29" i="21"/>
  <c r="V29" i="21"/>
  <c r="E15" i="21"/>
  <c r="H7" i="28" l="1"/>
  <c r="G9" i="28"/>
  <c r="V8" i="21"/>
  <c r="V11" i="21" s="1"/>
  <c r="V34" i="21" s="1"/>
  <c r="W8" i="21"/>
  <c r="W11" i="21" s="1"/>
  <c r="W34" i="21" s="1"/>
  <c r="Q10" i="19" s="1"/>
  <c r="G11" i="28"/>
  <c r="G37" i="28" s="1"/>
  <c r="G47" i="28" s="1"/>
  <c r="G55" i="28" s="1"/>
  <c r="AU8" i="21"/>
  <c r="AU11" i="21" s="1"/>
  <c r="AU34" i="21" s="1"/>
  <c r="T10" i="19" s="1"/>
  <c r="AT8" i="21"/>
  <c r="AT11" i="21" s="1"/>
  <c r="AT34" i="21" s="1"/>
  <c r="BS8" i="21"/>
  <c r="BS11" i="21" s="1"/>
  <c r="BS34" i="21" s="1"/>
  <c r="W10" i="19" s="1"/>
  <c r="BR34" i="21"/>
  <c r="BR44" i="21" s="1"/>
  <c r="D29" i="20"/>
  <c r="D26" i="20"/>
  <c r="B26" i="2"/>
  <c r="B25" i="2"/>
  <c r="B24" i="2"/>
  <c r="B23" i="2"/>
  <c r="B22" i="2"/>
  <c r="E4" i="13" s="1"/>
  <c r="B21" i="2"/>
  <c r="B12" i="2"/>
  <c r="B11" i="2"/>
  <c r="B10" i="2"/>
  <c r="B9" i="2"/>
  <c r="B8" i="2"/>
  <c r="BO48" i="21"/>
  <c r="BO47" i="21"/>
  <c r="BO46" i="21"/>
  <c r="BO41" i="21"/>
  <c r="BO40" i="21"/>
  <c r="BO39" i="21"/>
  <c r="BO38" i="21"/>
  <c r="BO37" i="21"/>
  <c r="BO31" i="21"/>
  <c r="BO28" i="21"/>
  <c r="BO26" i="21"/>
  <c r="BO24" i="21"/>
  <c r="BO23" i="21"/>
  <c r="BO22" i="21"/>
  <c r="BO21" i="21"/>
  <c r="BO20" i="21"/>
  <c r="BO19" i="21"/>
  <c r="BO18" i="21"/>
  <c r="BO17" i="21"/>
  <c r="BO16" i="21"/>
  <c r="BO15" i="21"/>
  <c r="BO7" i="21"/>
  <c r="BL48" i="21"/>
  <c r="BL47" i="21"/>
  <c r="BL46" i="21"/>
  <c r="BL41" i="21"/>
  <c r="BL40" i="21"/>
  <c r="BL39" i="21"/>
  <c r="BL38" i="21"/>
  <c r="BL37" i="21"/>
  <c r="BL31" i="21"/>
  <c r="BL28" i="21"/>
  <c r="BL26" i="21"/>
  <c r="BL24" i="21"/>
  <c r="BL23" i="21"/>
  <c r="BL22" i="21"/>
  <c r="BL21" i="21"/>
  <c r="BL20" i="21"/>
  <c r="BL19" i="21"/>
  <c r="BL18" i="21"/>
  <c r="BL17" i="21"/>
  <c r="BL16" i="21"/>
  <c r="BL15" i="21"/>
  <c r="BL7" i="21"/>
  <c r="BI48" i="21"/>
  <c r="BI47" i="21"/>
  <c r="BI46" i="21"/>
  <c r="BI41" i="21"/>
  <c r="BI40" i="21"/>
  <c r="BI39" i="21"/>
  <c r="BI38" i="21"/>
  <c r="BI37" i="21"/>
  <c r="BI32" i="21"/>
  <c r="BI31" i="21"/>
  <c r="BI28" i="21"/>
  <c r="BI26" i="21"/>
  <c r="BI24" i="21"/>
  <c r="BI23" i="21"/>
  <c r="BI22" i="21"/>
  <c r="BI21" i="21"/>
  <c r="BI20" i="21"/>
  <c r="BI19" i="21"/>
  <c r="BI18" i="21"/>
  <c r="BI17" i="21"/>
  <c r="BI16" i="21"/>
  <c r="BI15" i="21"/>
  <c r="BI7" i="21"/>
  <c r="BF48" i="21"/>
  <c r="BF47" i="21"/>
  <c r="BF46" i="21"/>
  <c r="BF41" i="21"/>
  <c r="BF40" i="21"/>
  <c r="BF39" i="21"/>
  <c r="BF38" i="21"/>
  <c r="BF37" i="21"/>
  <c r="BF31" i="21"/>
  <c r="BF28" i="21"/>
  <c r="BF26" i="21"/>
  <c r="BF24" i="21"/>
  <c r="BF23" i="21"/>
  <c r="BF22" i="21"/>
  <c r="BF21" i="21"/>
  <c r="BF20" i="21"/>
  <c r="BF19" i="21"/>
  <c r="BF18" i="21"/>
  <c r="BF17" i="21"/>
  <c r="BF16" i="21"/>
  <c r="BF15" i="21"/>
  <c r="BF7" i="21"/>
  <c r="BC48" i="21"/>
  <c r="BC47" i="21"/>
  <c r="BC46" i="21"/>
  <c r="BC41" i="21"/>
  <c r="BC40" i="21"/>
  <c r="BC39" i="21"/>
  <c r="BC38" i="21"/>
  <c r="BC37" i="21"/>
  <c r="BC32" i="21"/>
  <c r="BC31" i="21"/>
  <c r="BC28" i="21"/>
  <c r="BC26" i="21"/>
  <c r="BC24" i="21"/>
  <c r="BC23" i="21"/>
  <c r="BC22" i="21"/>
  <c r="BC21" i="21"/>
  <c r="BC20" i="21"/>
  <c r="BC19" i="21"/>
  <c r="BC18" i="21"/>
  <c r="BC17" i="21"/>
  <c r="BC16" i="21"/>
  <c r="BC15" i="21"/>
  <c r="BC7" i="21"/>
  <c r="AZ48" i="21"/>
  <c r="AZ47" i="21"/>
  <c r="AZ46" i="21"/>
  <c r="AZ40" i="21"/>
  <c r="AZ39" i="21"/>
  <c r="AZ38" i="21"/>
  <c r="AZ37" i="21"/>
  <c r="AZ32" i="21"/>
  <c r="AZ31" i="21"/>
  <c r="AZ28" i="21"/>
  <c r="AZ26" i="21"/>
  <c r="AZ24" i="21"/>
  <c r="AZ23" i="21"/>
  <c r="AZ22" i="21"/>
  <c r="AZ21" i="21"/>
  <c r="AZ20" i="21"/>
  <c r="AZ19" i="21"/>
  <c r="AZ18" i="21"/>
  <c r="AZ17" i="21"/>
  <c r="AZ15" i="21"/>
  <c r="AZ7" i="21"/>
  <c r="AQ48" i="21"/>
  <c r="AQ47" i="21"/>
  <c r="AQ46" i="21"/>
  <c r="AQ41" i="21"/>
  <c r="AQ40" i="21"/>
  <c r="AQ39" i="21"/>
  <c r="AQ38" i="21"/>
  <c r="AQ37" i="21"/>
  <c r="AQ31" i="21"/>
  <c r="AQ28" i="21"/>
  <c r="AQ26" i="21"/>
  <c r="AQ24" i="21"/>
  <c r="AQ23" i="21"/>
  <c r="AQ22" i="21"/>
  <c r="AQ21" i="21"/>
  <c r="AQ20" i="21"/>
  <c r="AQ19" i="21"/>
  <c r="AQ18" i="21"/>
  <c r="AQ17" i="21"/>
  <c r="AQ16" i="21"/>
  <c r="AQ15" i="21"/>
  <c r="AQ7" i="21"/>
  <c r="AN48" i="21"/>
  <c r="AN47" i="21"/>
  <c r="AN46" i="21"/>
  <c r="AN41" i="21"/>
  <c r="AN40" i="21"/>
  <c r="AN39" i="21"/>
  <c r="AN38" i="21"/>
  <c r="AN37" i="21"/>
  <c r="AN31" i="21"/>
  <c r="AN28" i="21"/>
  <c r="AN26" i="21"/>
  <c r="AN24" i="21"/>
  <c r="AN23" i="21"/>
  <c r="AN22" i="21"/>
  <c r="AN21" i="21"/>
  <c r="AN20" i="21"/>
  <c r="AN19" i="21"/>
  <c r="AN18" i="21"/>
  <c r="AN17" i="21"/>
  <c r="AN16" i="21"/>
  <c r="AN15" i="21"/>
  <c r="AN7" i="21"/>
  <c r="AO7" i="21" s="1"/>
  <c r="AK48" i="21"/>
  <c r="AK47" i="21"/>
  <c r="AK46" i="21"/>
  <c r="AK41" i="21"/>
  <c r="AK40" i="21"/>
  <c r="AK39" i="21"/>
  <c r="AK38" i="21"/>
  <c r="AK37" i="21"/>
  <c r="AK32" i="21"/>
  <c r="AK31" i="21"/>
  <c r="AK28" i="21"/>
  <c r="AK26" i="21"/>
  <c r="AK24" i="21"/>
  <c r="AK23" i="21"/>
  <c r="AK22" i="21"/>
  <c r="AK21" i="21"/>
  <c r="AK20" i="21"/>
  <c r="AK19" i="21"/>
  <c r="AK18" i="21"/>
  <c r="AK17" i="21"/>
  <c r="AK16" i="21"/>
  <c r="AK15" i="21"/>
  <c r="AK7" i="21"/>
  <c r="AH48" i="21"/>
  <c r="AH47" i="21"/>
  <c r="AH46" i="21"/>
  <c r="AH41" i="21"/>
  <c r="AH40" i="21"/>
  <c r="AH39" i="21"/>
  <c r="AH38" i="21"/>
  <c r="AH37" i="21"/>
  <c r="AH31" i="21"/>
  <c r="AH28" i="21"/>
  <c r="AH26" i="21"/>
  <c r="AH24" i="21"/>
  <c r="AH23" i="21"/>
  <c r="AH22" i="21"/>
  <c r="AH21" i="21"/>
  <c r="AH20" i="21"/>
  <c r="AH19" i="21"/>
  <c r="AH18" i="21"/>
  <c r="AH17" i="21"/>
  <c r="AH16" i="21"/>
  <c r="AH15" i="21"/>
  <c r="AH7" i="21"/>
  <c r="AE48" i="21"/>
  <c r="AE47" i="21"/>
  <c r="AE46" i="21"/>
  <c r="AE41" i="21"/>
  <c r="AE40" i="21"/>
  <c r="AE39" i="21"/>
  <c r="AE38" i="21"/>
  <c r="AE37" i="21"/>
  <c r="AE32" i="21"/>
  <c r="AE31" i="21"/>
  <c r="AE28" i="21"/>
  <c r="AE26" i="21"/>
  <c r="AE24" i="21"/>
  <c r="AE23" i="21"/>
  <c r="AE22" i="21"/>
  <c r="AE21" i="21"/>
  <c r="AE20" i="21"/>
  <c r="AE19" i="21"/>
  <c r="AE18" i="21"/>
  <c r="AE17" i="21"/>
  <c r="AE16" i="21"/>
  <c r="AE15" i="21"/>
  <c r="AE7" i="21"/>
  <c r="AB48" i="21"/>
  <c r="AB47" i="21"/>
  <c r="AB46" i="21"/>
  <c r="AB40" i="21"/>
  <c r="AB39" i="21"/>
  <c r="AB38" i="21"/>
  <c r="AB37" i="21"/>
  <c r="AB32" i="21"/>
  <c r="AB31" i="21"/>
  <c r="AB28" i="21"/>
  <c r="AB26" i="21"/>
  <c r="AB24" i="21"/>
  <c r="AB23" i="21"/>
  <c r="AB22" i="21"/>
  <c r="AB21" i="21"/>
  <c r="AB20" i="21"/>
  <c r="AB19" i="21"/>
  <c r="AB18" i="21"/>
  <c r="AB17" i="21"/>
  <c r="AB15" i="21"/>
  <c r="AB7" i="21"/>
  <c r="S48" i="21"/>
  <c r="S47" i="21"/>
  <c r="S46" i="21"/>
  <c r="S41" i="21"/>
  <c r="S40" i="21"/>
  <c r="S39" i="21"/>
  <c r="S38" i="21"/>
  <c r="S37" i="21"/>
  <c r="S31" i="21"/>
  <c r="S28" i="21"/>
  <c r="S26" i="21"/>
  <c r="S24" i="21"/>
  <c r="S23" i="21"/>
  <c r="S22" i="21"/>
  <c r="S21" i="21"/>
  <c r="S20" i="21"/>
  <c r="S19" i="21"/>
  <c r="S18" i="21"/>
  <c r="S17" i="21"/>
  <c r="S16" i="21"/>
  <c r="S15" i="21"/>
  <c r="S7" i="21"/>
  <c r="P48" i="21"/>
  <c r="P47" i="21"/>
  <c r="P46" i="21"/>
  <c r="P41" i="21"/>
  <c r="P40" i="21"/>
  <c r="P39" i="21"/>
  <c r="P38" i="21"/>
  <c r="P37" i="21"/>
  <c r="P31" i="21"/>
  <c r="P28" i="21"/>
  <c r="P26" i="21"/>
  <c r="P24" i="21"/>
  <c r="P23" i="21"/>
  <c r="P22" i="21"/>
  <c r="P21" i="21"/>
  <c r="P20" i="21"/>
  <c r="P19" i="21"/>
  <c r="P18" i="21"/>
  <c r="P17" i="21"/>
  <c r="P16" i="21"/>
  <c r="P15" i="21"/>
  <c r="P7" i="21"/>
  <c r="M48" i="21"/>
  <c r="M47" i="21"/>
  <c r="M46" i="21"/>
  <c r="M41" i="21"/>
  <c r="M40" i="21"/>
  <c r="M39" i="21"/>
  <c r="M38" i="21"/>
  <c r="M37" i="21"/>
  <c r="M32" i="21"/>
  <c r="M31" i="21"/>
  <c r="M28" i="21"/>
  <c r="M26" i="21"/>
  <c r="M24" i="21"/>
  <c r="M23" i="21"/>
  <c r="M22" i="21"/>
  <c r="M21" i="21"/>
  <c r="M20" i="21"/>
  <c r="M19" i="21"/>
  <c r="M18" i="21"/>
  <c r="M17" i="21"/>
  <c r="M16" i="21"/>
  <c r="M15" i="21"/>
  <c r="M7" i="21"/>
  <c r="J48" i="21"/>
  <c r="J47" i="21"/>
  <c r="J46" i="21"/>
  <c r="J41" i="21"/>
  <c r="J40" i="21"/>
  <c r="J39" i="21"/>
  <c r="J38" i="21"/>
  <c r="J37" i="21"/>
  <c r="J31" i="21"/>
  <c r="J28" i="21"/>
  <c r="J26" i="21"/>
  <c r="J24" i="21"/>
  <c r="J23" i="21"/>
  <c r="J22" i="21"/>
  <c r="J21" i="21"/>
  <c r="J20" i="21"/>
  <c r="J19" i="21"/>
  <c r="J18" i="21"/>
  <c r="J17" i="21"/>
  <c r="J16" i="21"/>
  <c r="J15" i="21"/>
  <c r="J7" i="21"/>
  <c r="G48" i="21"/>
  <c r="G47" i="21"/>
  <c r="G46" i="21"/>
  <c r="G41" i="21"/>
  <c r="G40" i="21"/>
  <c r="G39" i="21"/>
  <c r="G38" i="21"/>
  <c r="G37" i="21"/>
  <c r="G32" i="21"/>
  <c r="G31" i="21"/>
  <c r="G28" i="21"/>
  <c r="G26" i="21"/>
  <c r="G24" i="21"/>
  <c r="G23" i="21"/>
  <c r="G22" i="21"/>
  <c r="G21" i="21"/>
  <c r="G20" i="21"/>
  <c r="G19" i="21"/>
  <c r="G18" i="21"/>
  <c r="G17" i="21"/>
  <c r="G16" i="21"/>
  <c r="G15" i="21"/>
  <c r="G7" i="21"/>
  <c r="D48" i="21"/>
  <c r="D47" i="21"/>
  <c r="D46" i="21"/>
  <c r="D40" i="21"/>
  <c r="D39" i="21"/>
  <c r="D38" i="21"/>
  <c r="D37" i="21"/>
  <c r="D32" i="21"/>
  <c r="D31" i="21"/>
  <c r="D28" i="21"/>
  <c r="D26" i="21"/>
  <c r="D24" i="21"/>
  <c r="D23" i="21"/>
  <c r="D22" i="21"/>
  <c r="D21" i="21"/>
  <c r="D20" i="21"/>
  <c r="D19" i="21"/>
  <c r="D18" i="21"/>
  <c r="D17" i="21"/>
  <c r="D7" i="21"/>
  <c r="G31" i="20"/>
  <c r="G27" i="20"/>
  <c r="G19" i="20"/>
  <c r="G31" i="24"/>
  <c r="G27" i="24"/>
  <c r="G19" i="24"/>
  <c r="G31" i="15"/>
  <c r="G27" i="15"/>
  <c r="G19" i="15"/>
  <c r="G31" i="14"/>
  <c r="G27" i="14"/>
  <c r="G31" i="13"/>
  <c r="G27" i="13"/>
  <c r="G19" i="13"/>
  <c r="G31" i="12"/>
  <c r="G27" i="12"/>
  <c r="G19" i="12"/>
  <c r="E4" i="12" l="1"/>
  <c r="E7" i="12" s="1"/>
  <c r="D10" i="19"/>
  <c r="V44" i="21"/>
  <c r="V51" i="21" s="1"/>
  <c r="D36" i="19" s="1"/>
  <c r="G8" i="21"/>
  <c r="E7" i="13"/>
  <c r="E9" i="13" s="1"/>
  <c r="J10" i="19"/>
  <c r="AT44" i="21"/>
  <c r="G23" i="19" s="1"/>
  <c r="G10" i="19"/>
  <c r="BA15" i="21"/>
  <c r="AC15" i="21"/>
  <c r="BS44" i="21"/>
  <c r="W23" i="19" s="1"/>
  <c r="G32" i="24"/>
  <c r="AZ8" i="21"/>
  <c r="W44" i="21"/>
  <c r="Q23" i="19" s="1"/>
  <c r="AU44" i="21"/>
  <c r="AU51" i="21" s="1"/>
  <c r="T36" i="19" s="1"/>
  <c r="E4" i="14"/>
  <c r="BR51" i="21"/>
  <c r="J36" i="19" s="1"/>
  <c r="J23" i="19"/>
  <c r="BS51" i="21"/>
  <c r="W36" i="19" s="1"/>
  <c r="T23" i="19"/>
  <c r="G32" i="20"/>
  <c r="G32" i="15"/>
  <c r="G32" i="13"/>
  <c r="E29" i="12"/>
  <c r="E31" i="12" s="1"/>
  <c r="E26" i="15"/>
  <c r="E27" i="15" s="1"/>
  <c r="E4" i="15"/>
  <c r="E7" i="15" s="1"/>
  <c r="E9" i="15" s="1"/>
  <c r="E4" i="24"/>
  <c r="E29" i="15"/>
  <c r="E31" i="15" s="1"/>
  <c r="AE5" i="21"/>
  <c r="AE8" i="21" s="1"/>
  <c r="D8" i="21"/>
  <c r="BC8" i="21"/>
  <c r="AB5" i="21"/>
  <c r="AB8" i="21" s="1"/>
  <c r="G32" i="12"/>
  <c r="D23" i="19" l="1"/>
  <c r="AT51" i="21"/>
  <c r="G36" i="19" s="1"/>
  <c r="AQ5" i="21"/>
  <c r="AQ8" i="21" s="1"/>
  <c r="E7" i="24"/>
  <c r="E9" i="24" s="1"/>
  <c r="BF8" i="21"/>
  <c r="E7" i="14"/>
  <c r="E9" i="14" s="1"/>
  <c r="W51" i="21"/>
  <c r="Q36" i="19" s="1"/>
  <c r="AH5" i="21"/>
  <c r="AH8" i="21" s="1"/>
  <c r="J8" i="21"/>
  <c r="E9" i="12"/>
  <c r="E32" i="15"/>
  <c r="S8" i="21"/>
  <c r="BO8" i="21"/>
  <c r="BI8" i="21"/>
  <c r="AK5" i="21"/>
  <c r="AK8" i="21" s="1"/>
  <c r="M8" i="21"/>
  <c r="G19" i="14"/>
  <c r="G32" i="14" s="1"/>
  <c r="BM3" i="21"/>
  <c r="AO3" i="21" l="1"/>
  <c r="B51" i="2"/>
  <c r="AC16" i="21" l="1"/>
  <c r="AB16" i="21"/>
  <c r="D29" i="24"/>
  <c r="D26" i="24"/>
  <c r="D29" i="15"/>
  <c r="D26" i="15"/>
  <c r="D29" i="14"/>
  <c r="D26" i="14"/>
  <c r="D29" i="13"/>
  <c r="D26" i="13"/>
  <c r="D29" i="12"/>
  <c r="D26" i="12"/>
  <c r="E26" i="12"/>
  <c r="E27" i="12" s="1"/>
  <c r="E32" i="12" s="1"/>
  <c r="D6" i="26"/>
  <c r="D5" i="26"/>
  <c r="D4" i="26"/>
  <c r="E35" i="24"/>
  <c r="E35" i="20"/>
  <c r="BO32" i="21" l="1"/>
  <c r="AQ32" i="21"/>
  <c r="S32" i="21"/>
  <c r="AQ25" i="21"/>
  <c r="AR25" i="21"/>
  <c r="AR27" i="21"/>
  <c r="AQ27" i="21"/>
  <c r="P32" i="21"/>
  <c r="BL32" i="21"/>
  <c r="AN32" i="21"/>
  <c r="AL27" i="21"/>
  <c r="AK27" i="21"/>
  <c r="AL25" i="21"/>
  <c r="AK25" i="21"/>
  <c r="AI25" i="21"/>
  <c r="AH25" i="21"/>
  <c r="AI27" i="21"/>
  <c r="AH27" i="21"/>
  <c r="AE25" i="21"/>
  <c r="AF25" i="21"/>
  <c r="AF27" i="21"/>
  <c r="AE27" i="21"/>
  <c r="AB25" i="21"/>
  <c r="AC25" i="21"/>
  <c r="AC27" i="21"/>
  <c r="AB27" i="21"/>
  <c r="E7" i="26"/>
  <c r="E10" i="26" s="1"/>
  <c r="B7" i="4"/>
  <c r="B13" i="2" s="1"/>
  <c r="AN27" i="21" l="1"/>
  <c r="AN25" i="21"/>
  <c r="AO27" i="21"/>
  <c r="AO25" i="21"/>
  <c r="E4" i="20"/>
  <c r="E7" i="20" s="1"/>
  <c r="E9" i="20" s="1"/>
  <c r="Q3" i="21"/>
  <c r="G53" i="24"/>
  <c r="E53" i="24"/>
  <c r="G45" i="24"/>
  <c r="E45" i="24"/>
  <c r="G5" i="24"/>
  <c r="E5" i="24"/>
  <c r="G5" i="20"/>
  <c r="E5" i="20"/>
  <c r="G53" i="20"/>
  <c r="E53" i="20"/>
  <c r="G45" i="20"/>
  <c r="E45" i="20"/>
  <c r="BO6" i="21" l="1"/>
  <c r="AQ6" i="21"/>
  <c r="S6" i="21"/>
  <c r="H5" i="24"/>
  <c r="H5" i="20"/>
  <c r="AO6" i="21"/>
  <c r="P6" i="21"/>
  <c r="BL6" i="21"/>
  <c r="AN6" i="21"/>
  <c r="BL8" i="21"/>
  <c r="AN5" i="21"/>
  <c r="AN8" i="21" s="1"/>
  <c r="P8" i="21"/>
  <c r="Q6" i="21"/>
  <c r="BM6" i="21"/>
  <c r="E11" i="20"/>
  <c r="E37" i="20" s="1"/>
  <c r="E47" i="20" s="1"/>
  <c r="E55" i="20" s="1"/>
  <c r="T6" i="21"/>
  <c r="BP6" i="21"/>
  <c r="AR6" i="21"/>
  <c r="E11" i="24"/>
  <c r="E37" i="24" s="1"/>
  <c r="E47" i="24" s="1"/>
  <c r="E55" i="24" s="1"/>
  <c r="E29" i="14" l="1"/>
  <c r="E31" i="14" s="1"/>
  <c r="E26" i="14"/>
  <c r="E27" i="14" s="1"/>
  <c r="E32" i="14" s="1"/>
  <c r="D2" i="21"/>
  <c r="G5" i="15"/>
  <c r="E5" i="15"/>
  <c r="G5" i="14"/>
  <c r="H5" i="14" s="1"/>
  <c r="E5" i="14"/>
  <c r="G5" i="13"/>
  <c r="E5" i="13"/>
  <c r="G5" i="12"/>
  <c r="E5" i="12"/>
  <c r="AK6" i="21" l="1"/>
  <c r="BI6" i="21"/>
  <c r="M6" i="21"/>
  <c r="H5" i="15"/>
  <c r="BF6" i="21"/>
  <c r="J6" i="21"/>
  <c r="AH6" i="21"/>
  <c r="BC6" i="21"/>
  <c r="G6" i="21"/>
  <c r="AE6" i="21"/>
  <c r="H5" i="13"/>
  <c r="H5" i="12"/>
  <c r="D6" i="21"/>
  <c r="AB6" i="21"/>
  <c r="AZ6" i="21"/>
  <c r="AB2" i="21"/>
  <c r="N6" i="21"/>
  <c r="BJ6" i="21"/>
  <c r="AL6" i="21"/>
  <c r="H6" i="21"/>
  <c r="BD6" i="21"/>
  <c r="AF6" i="21"/>
  <c r="E6" i="21"/>
  <c r="BA6" i="21"/>
  <c r="AC6" i="21"/>
  <c r="K6" i="21"/>
  <c r="BG6" i="21"/>
  <c r="AI6" i="21"/>
  <c r="E23" i="21"/>
  <c r="E19" i="21"/>
  <c r="E38" i="21"/>
  <c r="E24" i="21"/>
  <c r="E48" i="21"/>
  <c r="E32" i="21"/>
  <c r="E22" i="21"/>
  <c r="E7" i="21"/>
  <c r="G2" i="21"/>
  <c r="E28" i="21"/>
  <c r="E20" i="21"/>
  <c r="E40" i="21"/>
  <c r="E26" i="21"/>
  <c r="E18" i="21"/>
  <c r="E47" i="21"/>
  <c r="E39" i="21"/>
  <c r="E31" i="21"/>
  <c r="E21" i="21"/>
  <c r="E17" i="21"/>
  <c r="AZ2" i="21" l="1"/>
  <c r="AC28" i="21"/>
  <c r="AC40" i="21"/>
  <c r="AC48" i="21"/>
  <c r="AE2" i="21"/>
  <c r="AC32" i="21"/>
  <c r="AC47" i="21"/>
  <c r="AC17" i="21"/>
  <c r="AC31" i="21"/>
  <c r="AC39" i="21"/>
  <c r="AC38" i="21"/>
  <c r="AC23" i="21"/>
  <c r="AC26" i="21"/>
  <c r="AC24" i="21"/>
  <c r="AC19" i="21"/>
  <c r="AC21" i="21"/>
  <c r="AC20" i="21"/>
  <c r="AC18" i="21"/>
  <c r="AC22" i="21"/>
  <c r="AC7" i="21"/>
  <c r="D49" i="21"/>
  <c r="E46" i="21"/>
  <c r="E49" i="21" s="1"/>
  <c r="H40" i="21"/>
  <c r="H31" i="21"/>
  <c r="H18" i="21"/>
  <c r="H22" i="21"/>
  <c r="H26" i="21"/>
  <c r="H48" i="21"/>
  <c r="H41" i="21"/>
  <c r="H16" i="21"/>
  <c r="H21" i="21"/>
  <c r="H23" i="21"/>
  <c r="J2" i="21"/>
  <c r="H39" i="21"/>
  <c r="H20" i="21"/>
  <c r="H7" i="21"/>
  <c r="H17" i="21"/>
  <c r="H28" i="21"/>
  <c r="H47" i="21"/>
  <c r="H38" i="21"/>
  <c r="H32" i="21"/>
  <c r="H19" i="21"/>
  <c r="H24" i="21"/>
  <c r="D42" i="21"/>
  <c r="E37" i="21"/>
  <c r="E42" i="21" s="1"/>
  <c r="AC37" i="21" l="1"/>
  <c r="AC42" i="21" s="1"/>
  <c r="AB42" i="21"/>
  <c r="AC46" i="21"/>
  <c r="AC49" i="21" s="1"/>
  <c r="AB49" i="21"/>
  <c r="BC2" i="21"/>
  <c r="BA47" i="21"/>
  <c r="BA39" i="21"/>
  <c r="BA31" i="21"/>
  <c r="BA23" i="21"/>
  <c r="BA19" i="21"/>
  <c r="BA40" i="21"/>
  <c r="BA20" i="21"/>
  <c r="BA38" i="21"/>
  <c r="BA28" i="21"/>
  <c r="BA22" i="21"/>
  <c r="BA18" i="21"/>
  <c r="BA21" i="21"/>
  <c r="BA7" i="21"/>
  <c r="BA48" i="21"/>
  <c r="BA24" i="21"/>
  <c r="BA26" i="21"/>
  <c r="BA17" i="21"/>
  <c r="BA32" i="21"/>
  <c r="AH2" i="21"/>
  <c r="AF47" i="21"/>
  <c r="AF39" i="21"/>
  <c r="AF31" i="21"/>
  <c r="AF17" i="21"/>
  <c r="AF21" i="21"/>
  <c r="AF15" i="21"/>
  <c r="AF24" i="21"/>
  <c r="AF38" i="21"/>
  <c r="AF28" i="21"/>
  <c r="AF18" i="21"/>
  <c r="AF22" i="21"/>
  <c r="AF41" i="21"/>
  <c r="AF26" i="21"/>
  <c r="AF19" i="21"/>
  <c r="AF7" i="21"/>
  <c r="AF40" i="21"/>
  <c r="AF32" i="21"/>
  <c r="AF20" i="21"/>
  <c r="AF23" i="21"/>
  <c r="AF48" i="21"/>
  <c r="AF16" i="21"/>
  <c r="K39" i="21"/>
  <c r="K18" i="21"/>
  <c r="K22" i="21"/>
  <c r="K26" i="21"/>
  <c r="K48" i="21"/>
  <c r="K41" i="21"/>
  <c r="K17" i="21"/>
  <c r="K23" i="21"/>
  <c r="K28" i="21"/>
  <c r="K40" i="21"/>
  <c r="K16" i="21"/>
  <c r="K21" i="21"/>
  <c r="K7" i="21"/>
  <c r="K46" i="21"/>
  <c r="K37" i="21"/>
  <c r="K19" i="21"/>
  <c r="K24" i="21"/>
  <c r="M2" i="21"/>
  <c r="K38" i="21"/>
  <c r="K31" i="21"/>
  <c r="K20" i="21"/>
  <c r="H15" i="21"/>
  <c r="H37" i="21"/>
  <c r="H42" i="21" s="1"/>
  <c r="G42" i="21"/>
  <c r="H46" i="21"/>
  <c r="H49" i="21" s="1"/>
  <c r="G49" i="21"/>
  <c r="BF2" i="21" l="1"/>
  <c r="BD47" i="21"/>
  <c r="BD39" i="21"/>
  <c r="BD31" i="21"/>
  <c r="BD23" i="21"/>
  <c r="BD19" i="21"/>
  <c r="BD15" i="21"/>
  <c r="BD38" i="21"/>
  <c r="BD28" i="21"/>
  <c r="BD22" i="21"/>
  <c r="BD18" i="21"/>
  <c r="BD48" i="21"/>
  <c r="BD40" i="21"/>
  <c r="BD24" i="21"/>
  <c r="BD20" i="21"/>
  <c r="BD41" i="21"/>
  <c r="BD26" i="21"/>
  <c r="BD21" i="21"/>
  <c r="BD17" i="21"/>
  <c r="BD7" i="21"/>
  <c r="BD32" i="21"/>
  <c r="BD16" i="21"/>
  <c r="AF46" i="21"/>
  <c r="AF49" i="21" s="1"/>
  <c r="AE49" i="21"/>
  <c r="AK2" i="21"/>
  <c r="AI47" i="21"/>
  <c r="AI39" i="21"/>
  <c r="AI28" i="21"/>
  <c r="AI22" i="21"/>
  <c r="AI18" i="21"/>
  <c r="AI38" i="21"/>
  <c r="AI26" i="21"/>
  <c r="AI21" i="21"/>
  <c r="AI17" i="21"/>
  <c r="AI7" i="21"/>
  <c r="AI48" i="21"/>
  <c r="AI31" i="21"/>
  <c r="AI23" i="21"/>
  <c r="AI41" i="21"/>
  <c r="AI24" i="21"/>
  <c r="AI20" i="21"/>
  <c r="AI16" i="21"/>
  <c r="AI40" i="21"/>
  <c r="AI19" i="21"/>
  <c r="BA46" i="21"/>
  <c r="BA49" i="21" s="1"/>
  <c r="AZ49" i="21"/>
  <c r="AF37" i="21"/>
  <c r="AF42" i="21" s="1"/>
  <c r="AE42" i="21"/>
  <c r="BA37" i="21"/>
  <c r="BA42" i="21" s="1"/>
  <c r="AZ42" i="21"/>
  <c r="P2" i="21"/>
  <c r="Q39" i="21" s="1"/>
  <c r="Q17" i="21"/>
  <c r="Q21" i="21"/>
  <c r="Q38" i="21"/>
  <c r="Q20" i="21"/>
  <c r="Q47" i="21"/>
  <c r="Q40" i="21"/>
  <c r="Q18" i="21"/>
  <c r="Q22" i="21"/>
  <c r="Q26" i="21"/>
  <c r="Q16" i="21"/>
  <c r="Q48" i="21"/>
  <c r="Q41" i="21"/>
  <c r="Q23" i="21"/>
  <c r="Q24" i="21"/>
  <c r="N40" i="21"/>
  <c r="N32" i="21"/>
  <c r="N16" i="21"/>
  <c r="N20" i="21"/>
  <c r="N24" i="21"/>
  <c r="N28" i="21"/>
  <c r="N21" i="21"/>
  <c r="N26" i="21"/>
  <c r="N7" i="21"/>
  <c r="N41" i="21"/>
  <c r="N47" i="21"/>
  <c r="N38" i="21"/>
  <c r="N17" i="21"/>
  <c r="N22" i="21"/>
  <c r="N19" i="21"/>
  <c r="N48" i="21"/>
  <c r="N39" i="21"/>
  <c r="N31" i="21"/>
  <c r="N18" i="21"/>
  <c r="N23" i="21"/>
  <c r="K15" i="21"/>
  <c r="K42" i="21"/>
  <c r="J42" i="21"/>
  <c r="S2" i="21" l="1"/>
  <c r="AI46" i="21"/>
  <c r="AI49" i="21" s="1"/>
  <c r="AH49" i="21"/>
  <c r="Q19" i="21"/>
  <c r="Q7" i="21"/>
  <c r="Q31" i="21"/>
  <c r="Q28" i="21"/>
  <c r="Q15" i="21"/>
  <c r="AI37" i="21"/>
  <c r="AI42" i="21" s="1"/>
  <c r="AH42" i="21"/>
  <c r="AN2" i="21"/>
  <c r="AL47" i="21"/>
  <c r="AL39" i="21"/>
  <c r="AL31" i="21"/>
  <c r="AL23" i="21"/>
  <c r="AL19" i="21"/>
  <c r="AL15" i="21"/>
  <c r="AL38" i="21"/>
  <c r="AL28" i="21"/>
  <c r="AL22" i="21"/>
  <c r="AL18" i="21"/>
  <c r="AL48" i="21"/>
  <c r="AL40" i="21"/>
  <c r="AL24" i="21"/>
  <c r="AL20" i="21"/>
  <c r="AL41" i="21"/>
  <c r="AL26" i="21"/>
  <c r="AL21" i="21"/>
  <c r="AL17" i="21"/>
  <c r="AL7" i="21"/>
  <c r="AL32" i="21"/>
  <c r="AL16" i="21"/>
  <c r="BD46" i="21"/>
  <c r="BD49" i="21" s="1"/>
  <c r="BC49" i="21"/>
  <c r="BD37" i="21"/>
  <c r="BD42" i="21" s="1"/>
  <c r="BC42" i="21"/>
  <c r="BI2" i="21"/>
  <c r="BG47" i="21"/>
  <c r="BG39" i="21"/>
  <c r="BG28" i="21"/>
  <c r="BG22" i="21"/>
  <c r="BG18" i="21"/>
  <c r="BG38" i="21"/>
  <c r="BG26" i="21"/>
  <c r="BG21" i="21"/>
  <c r="BG17" i="21"/>
  <c r="BG7" i="21"/>
  <c r="BG31" i="21"/>
  <c r="BG19" i="21"/>
  <c r="BG41" i="21"/>
  <c r="BG24" i="21"/>
  <c r="BG20" i="21"/>
  <c r="BG16" i="21"/>
  <c r="BG48" i="21"/>
  <c r="BG40" i="21"/>
  <c r="BG23" i="21"/>
  <c r="AI15" i="21"/>
  <c r="Q37" i="21"/>
  <c r="Q42" i="21" s="1"/>
  <c r="P42" i="21"/>
  <c r="T47" i="21"/>
  <c r="T39" i="21"/>
  <c r="T32" i="21"/>
  <c r="T18" i="21"/>
  <c r="T22" i="21"/>
  <c r="T26" i="21"/>
  <c r="T21" i="21"/>
  <c r="T48" i="21"/>
  <c r="T40" i="21"/>
  <c r="T31" i="21"/>
  <c r="T19" i="21"/>
  <c r="T23" i="21"/>
  <c r="T7" i="21"/>
  <c r="T41" i="21"/>
  <c r="T16" i="21"/>
  <c r="T20" i="21"/>
  <c r="T24" i="21"/>
  <c r="T28" i="21"/>
  <c r="T38" i="21"/>
  <c r="T17" i="21"/>
  <c r="Q46" i="21"/>
  <c r="Q49" i="21" s="1"/>
  <c r="P49" i="21"/>
  <c r="Q32" i="21"/>
  <c r="P11" i="21"/>
  <c r="N46" i="21"/>
  <c r="N49" i="21" s="1"/>
  <c r="M49" i="21"/>
  <c r="M42" i="21"/>
  <c r="N37" i="21"/>
  <c r="N42" i="21" s="1"/>
  <c r="N15" i="21"/>
  <c r="J49" i="21"/>
  <c r="K47" i="21"/>
  <c r="K49" i="21" s="1"/>
  <c r="AL37" i="21" l="1"/>
  <c r="AL42" i="21" s="1"/>
  <c r="AK42" i="21"/>
  <c r="BG15" i="21"/>
  <c r="BG46" i="21"/>
  <c r="BG49" i="21" s="1"/>
  <c r="BF49" i="21"/>
  <c r="AQ2" i="21"/>
  <c r="AT2" i="21" s="1"/>
  <c r="AW2" i="21" s="1"/>
  <c r="AO48" i="21"/>
  <c r="AO40" i="21"/>
  <c r="AO31" i="21"/>
  <c r="AO23" i="21"/>
  <c r="AO19" i="21"/>
  <c r="AO47" i="21"/>
  <c r="AO39" i="21"/>
  <c r="AO28" i="21"/>
  <c r="AO22" i="21"/>
  <c r="AO18" i="21"/>
  <c r="AO41" i="21"/>
  <c r="AO24" i="21"/>
  <c r="AO20" i="21"/>
  <c r="AO16" i="21"/>
  <c r="AO38" i="21"/>
  <c r="AO26" i="21"/>
  <c r="AO21" i="21"/>
  <c r="AO17" i="21"/>
  <c r="AO32" i="21"/>
  <c r="AN11" i="21"/>
  <c r="BL2" i="21"/>
  <c r="BJ47" i="21"/>
  <c r="BJ39" i="21"/>
  <c r="BJ31" i="21"/>
  <c r="BJ23" i="21"/>
  <c r="BJ19" i="21"/>
  <c r="BJ15" i="21"/>
  <c r="BJ38" i="21"/>
  <c r="BJ28" i="21"/>
  <c r="BJ22" i="21"/>
  <c r="BJ18" i="21"/>
  <c r="BJ40" i="21"/>
  <c r="BJ24" i="21"/>
  <c r="BJ16" i="21"/>
  <c r="BJ41" i="21"/>
  <c r="BJ26" i="21"/>
  <c r="BJ21" i="21"/>
  <c r="BJ17" i="21"/>
  <c r="BJ7" i="21"/>
  <c r="BJ48" i="21"/>
  <c r="BJ32" i="21"/>
  <c r="BJ20" i="21"/>
  <c r="BG37" i="21"/>
  <c r="BG42" i="21" s="1"/>
  <c r="BF42" i="21"/>
  <c r="AL46" i="21"/>
  <c r="AL49" i="21" s="1"/>
  <c r="AK49" i="21"/>
  <c r="S11" i="21"/>
  <c r="T15" i="21"/>
  <c r="T37" i="21"/>
  <c r="T42" i="21" s="1"/>
  <c r="S42" i="21"/>
  <c r="S49" i="21"/>
  <c r="T46" i="21"/>
  <c r="T49" i="21" s="1"/>
  <c r="E53" i="13"/>
  <c r="G53" i="13"/>
  <c r="BJ46" i="21" l="1"/>
  <c r="BJ49" i="21" s="1"/>
  <c r="BI49" i="21"/>
  <c r="AO15" i="21"/>
  <c r="BO2" i="21"/>
  <c r="BR2" i="21" s="1"/>
  <c r="BU2" i="21" s="1"/>
  <c r="BM47" i="21"/>
  <c r="BM39" i="21"/>
  <c r="BM28" i="21"/>
  <c r="BM22" i="21"/>
  <c r="BM18" i="21"/>
  <c r="BM38" i="21"/>
  <c r="BM26" i="21"/>
  <c r="BM21" i="21"/>
  <c r="BM17" i="21"/>
  <c r="BM7" i="21"/>
  <c r="BM48" i="21"/>
  <c r="BM40" i="21"/>
  <c r="BM31" i="21"/>
  <c r="BM19" i="21"/>
  <c r="BM41" i="21"/>
  <c r="BM24" i="21"/>
  <c r="BM20" i="21"/>
  <c r="BM16" i="21"/>
  <c r="BM23" i="21"/>
  <c r="BM32" i="21"/>
  <c r="AO46" i="21"/>
  <c r="AO49" i="21" s="1"/>
  <c r="AN49" i="21"/>
  <c r="AR48" i="21"/>
  <c r="AR40" i="21"/>
  <c r="AR31" i="21"/>
  <c r="AR23" i="21"/>
  <c r="AR19" i="21"/>
  <c r="AR15" i="21"/>
  <c r="AR41" i="21"/>
  <c r="AR24" i="21"/>
  <c r="AR20" i="21"/>
  <c r="AR47" i="21"/>
  <c r="AR39" i="21"/>
  <c r="AR28" i="21"/>
  <c r="AR22" i="21"/>
  <c r="AR18" i="21"/>
  <c r="AR38" i="21"/>
  <c r="AR26" i="21"/>
  <c r="AR21" i="21"/>
  <c r="AR17" i="21"/>
  <c r="AR7" i="21"/>
  <c r="AR16" i="21"/>
  <c r="AR32" i="21"/>
  <c r="BJ37" i="21"/>
  <c r="BJ42" i="21" s="1"/>
  <c r="BI42" i="21"/>
  <c r="AO37" i="21"/>
  <c r="AO42" i="21" s="1"/>
  <c r="AN42" i="21"/>
  <c r="B12" i="5"/>
  <c r="B12" i="4"/>
  <c r="G53" i="15"/>
  <c r="G45" i="15"/>
  <c r="E53" i="15"/>
  <c r="E45" i="15"/>
  <c r="G53" i="14"/>
  <c r="G45" i="14"/>
  <c r="E53" i="14"/>
  <c r="E45" i="14"/>
  <c r="E35" i="14"/>
  <c r="G45" i="13"/>
  <c r="E45" i="13"/>
  <c r="G53" i="12"/>
  <c r="G45" i="12"/>
  <c r="E53" i="12"/>
  <c r="E45" i="12"/>
  <c r="BF32" i="21" l="1"/>
  <c r="BG32" i="21" s="1"/>
  <c r="J32" i="21"/>
  <c r="K32" i="21" s="1"/>
  <c r="AH32" i="21"/>
  <c r="AI32" i="21" s="1"/>
  <c r="AQ11" i="21"/>
  <c r="BL11" i="21"/>
  <c r="BM37" i="21"/>
  <c r="BM42" i="21" s="1"/>
  <c r="BL42" i="21"/>
  <c r="BM46" i="21"/>
  <c r="BM49" i="21" s="1"/>
  <c r="BL49" i="21"/>
  <c r="AR46" i="21"/>
  <c r="AR49" i="21" s="1"/>
  <c r="AQ49" i="21"/>
  <c r="AR37" i="21"/>
  <c r="AR42" i="21" s="1"/>
  <c r="AQ42" i="21"/>
  <c r="BP48" i="21"/>
  <c r="BP40" i="21"/>
  <c r="BP31" i="21"/>
  <c r="BP23" i="21"/>
  <c r="BP19" i="21"/>
  <c r="BP47" i="21"/>
  <c r="BP39" i="21"/>
  <c r="BP28" i="21"/>
  <c r="BP22" i="21"/>
  <c r="BP18" i="21"/>
  <c r="BP24" i="21"/>
  <c r="BP20" i="21"/>
  <c r="BP38" i="21"/>
  <c r="BP26" i="21"/>
  <c r="BP21" i="21"/>
  <c r="BP17" i="21"/>
  <c r="BP7" i="21"/>
  <c r="BP41" i="21"/>
  <c r="BP16" i="21"/>
  <c r="BP32" i="21"/>
  <c r="BO11" i="21"/>
  <c r="BM15" i="21"/>
  <c r="BI11" i="21"/>
  <c r="AK11" i="21"/>
  <c r="BC11" i="21"/>
  <c r="AE11" i="21"/>
  <c r="AZ11" i="21"/>
  <c r="AB11" i="21"/>
  <c r="E11" i="15"/>
  <c r="E37" i="15" s="1"/>
  <c r="M11" i="21"/>
  <c r="E11" i="12"/>
  <c r="E37" i="12" s="1"/>
  <c r="E47" i="12" s="1"/>
  <c r="E55" i="12" s="1"/>
  <c r="D11" i="21"/>
  <c r="E11" i="13"/>
  <c r="E37" i="13" s="1"/>
  <c r="E47" i="13" s="1"/>
  <c r="E55" i="13" s="1"/>
  <c r="G11" i="21"/>
  <c r="BF29" i="21" l="1"/>
  <c r="BP15" i="21"/>
  <c r="BP37" i="21"/>
  <c r="BP42" i="21" s="1"/>
  <c r="BO42" i="21"/>
  <c r="BP46" i="21"/>
  <c r="BP49" i="21" s="1"/>
  <c r="BO49" i="21"/>
  <c r="J11" i="21"/>
  <c r="BF11" i="21"/>
  <c r="AH11" i="21"/>
  <c r="AB29" i="21"/>
  <c r="AB34" i="21" s="1"/>
  <c r="E11" i="19" s="1"/>
  <c r="G4" i="13"/>
  <c r="G7" i="13" s="1"/>
  <c r="G4" i="20"/>
  <c r="G7" i="20" s="1"/>
  <c r="G4" i="24"/>
  <c r="G7" i="24" s="1"/>
  <c r="E47" i="15"/>
  <c r="E55" i="15" s="1"/>
  <c r="E11" i="14"/>
  <c r="E37" i="14" s="1"/>
  <c r="E47" i="14" s="1"/>
  <c r="E55" i="14" s="1"/>
  <c r="G4" i="15"/>
  <c r="G7" i="15" s="1"/>
  <c r="G4" i="12"/>
  <c r="G7" i="12" s="1"/>
  <c r="G4" i="14"/>
  <c r="G7" i="14" s="1"/>
  <c r="H7" i="24" l="1"/>
  <c r="G9" i="24"/>
  <c r="G9" i="20"/>
  <c r="H7" i="20"/>
  <c r="H7" i="15"/>
  <c r="G9" i="15"/>
  <c r="H7" i="14"/>
  <c r="G9" i="14"/>
  <c r="G9" i="13"/>
  <c r="H7" i="13"/>
  <c r="G9" i="12"/>
  <c r="G11" i="12" s="1"/>
  <c r="G37" i="12" s="1"/>
  <c r="H7" i="12"/>
  <c r="BD8" i="21"/>
  <c r="H4" i="13"/>
  <c r="BA8" i="21"/>
  <c r="H4" i="12"/>
  <c r="BP8" i="21"/>
  <c r="BP11" i="21" s="1"/>
  <c r="H4" i="24"/>
  <c r="H4" i="15"/>
  <c r="H4" i="14"/>
  <c r="H4" i="20"/>
  <c r="E8" i="19"/>
  <c r="E10" i="19"/>
  <c r="E9" i="19"/>
  <c r="BM29" i="21"/>
  <c r="AL29" i="21"/>
  <c r="E7" i="19"/>
  <c r="E6" i="19"/>
  <c r="AZ29" i="21"/>
  <c r="AZ34" i="21" s="1"/>
  <c r="H11" i="19" s="1"/>
  <c r="AC29" i="21"/>
  <c r="AQ29" i="21"/>
  <c r="AQ34" i="21" s="1"/>
  <c r="BO29" i="21"/>
  <c r="BO34" i="21" s="1"/>
  <c r="BL29" i="21"/>
  <c r="BL34" i="21" s="1"/>
  <c r="J6" i="19" s="1"/>
  <c r="BJ29" i="21"/>
  <c r="BI29" i="21"/>
  <c r="BI34" i="21" s="1"/>
  <c r="BG29" i="21"/>
  <c r="AH29" i="21"/>
  <c r="AH34" i="21" s="1"/>
  <c r="BA29" i="21"/>
  <c r="BF34" i="21"/>
  <c r="BD29" i="21"/>
  <c r="AF29" i="21"/>
  <c r="AK29" i="21"/>
  <c r="AK34" i="21" s="1"/>
  <c r="AN29" i="21"/>
  <c r="AN34" i="21" s="1"/>
  <c r="G6" i="19" s="1"/>
  <c r="AB44" i="21"/>
  <c r="E24" i="19" s="1"/>
  <c r="BP29" i="21"/>
  <c r="AR29" i="21"/>
  <c r="BC29" i="21"/>
  <c r="BC34" i="21" s="1"/>
  <c r="I11" i="19" s="1"/>
  <c r="AE29" i="21"/>
  <c r="AE34" i="21" s="1"/>
  <c r="F11" i="19" s="1"/>
  <c r="C9" i="30" s="1"/>
  <c r="AO29" i="21"/>
  <c r="AI29" i="21"/>
  <c r="AO5" i="21"/>
  <c r="AR5" i="21"/>
  <c r="AL5" i="21"/>
  <c r="AF5" i="21"/>
  <c r="BD11" i="21"/>
  <c r="AC5" i="21"/>
  <c r="AI5" i="21"/>
  <c r="N29" i="21"/>
  <c r="M29" i="21"/>
  <c r="M34" i="21" s="1"/>
  <c r="D9" i="19" s="1"/>
  <c r="H29" i="21"/>
  <c r="G29" i="21"/>
  <c r="G34" i="21" s="1"/>
  <c r="C11" i="19" s="1"/>
  <c r="Q29" i="21"/>
  <c r="P29" i="21"/>
  <c r="P34" i="21" s="1"/>
  <c r="D6" i="19" s="1"/>
  <c r="T29" i="21"/>
  <c r="S29" i="21"/>
  <c r="S34" i="21" s="1"/>
  <c r="D7" i="19" s="1"/>
  <c r="E29" i="21"/>
  <c r="D29" i="21"/>
  <c r="D34" i="21" s="1"/>
  <c r="B11" i="19" s="1"/>
  <c r="K29" i="21"/>
  <c r="J29" i="21"/>
  <c r="J34" i="21" s="1"/>
  <c r="D8" i="19" s="1"/>
  <c r="G11" i="13"/>
  <c r="G37" i="13" s="1"/>
  <c r="G47" i="13" s="1"/>
  <c r="G55" i="13" s="1"/>
  <c r="G11" i="20"/>
  <c r="G37" i="20" s="1"/>
  <c r="G47" i="20" s="1"/>
  <c r="G55" i="20" s="1"/>
  <c r="G11" i="24"/>
  <c r="G37" i="24" s="1"/>
  <c r="G47" i="24" s="1"/>
  <c r="G55" i="24" s="1"/>
  <c r="G11" i="15"/>
  <c r="G37" i="15" s="1"/>
  <c r="G47" i="15" s="1"/>
  <c r="G55" i="15" s="1"/>
  <c r="G11" i="14"/>
  <c r="G37" i="14" s="1"/>
  <c r="T8" i="21" l="1"/>
  <c r="T11" i="21" s="1"/>
  <c r="T34" i="21" s="1"/>
  <c r="Q7" i="19" s="1"/>
  <c r="N8" i="21"/>
  <c r="N11" i="21" s="1"/>
  <c r="N34" i="21" s="1"/>
  <c r="Q9" i="19" s="1"/>
  <c r="K8" i="21"/>
  <c r="K11" i="21" s="1"/>
  <c r="K34" i="21" s="1"/>
  <c r="Q8" i="19" s="1"/>
  <c r="B9" i="30"/>
  <c r="H8" i="21"/>
  <c r="H11" i="21" s="1"/>
  <c r="H34" i="21" s="1"/>
  <c r="P11" i="19" s="1"/>
  <c r="D9" i="30"/>
  <c r="E8" i="21"/>
  <c r="E11" i="21" s="1"/>
  <c r="E34" i="21" s="1"/>
  <c r="O11" i="19" s="1"/>
  <c r="AF8" i="21"/>
  <c r="AF11" i="21" s="1"/>
  <c r="AF34" i="21" s="1"/>
  <c r="S11" i="19" s="1"/>
  <c r="BA11" i="21"/>
  <c r="BA34" i="21" s="1"/>
  <c r="U11" i="19" s="1"/>
  <c r="AL8" i="21"/>
  <c r="AL11" i="21" s="1"/>
  <c r="AL34" i="21" s="1"/>
  <c r="BJ8" i="21"/>
  <c r="BJ11" i="21" s="1"/>
  <c r="BJ34" i="21" s="1"/>
  <c r="AI8" i="21"/>
  <c r="AI11" i="21" s="1"/>
  <c r="AI34" i="21" s="1"/>
  <c r="BG8" i="21"/>
  <c r="BG11" i="21" s="1"/>
  <c r="BG34" i="21" s="1"/>
  <c r="AC8" i="21"/>
  <c r="AC11" i="21" s="1"/>
  <c r="AC34" i="21" s="1"/>
  <c r="R11" i="19" s="1"/>
  <c r="AR8" i="21"/>
  <c r="AR11" i="21" s="1"/>
  <c r="AR34" i="21" s="1"/>
  <c r="T7" i="19" s="1"/>
  <c r="AO8" i="21"/>
  <c r="AO11" i="21" s="1"/>
  <c r="AO34" i="21" s="1"/>
  <c r="Q8" i="21"/>
  <c r="Q11" i="21" s="1"/>
  <c r="Q34" i="21" s="1"/>
  <c r="Q6" i="19" s="1"/>
  <c r="BM8" i="21"/>
  <c r="BM11" i="21" s="1"/>
  <c r="BM34" i="21" s="1"/>
  <c r="W6" i="19" s="1"/>
  <c r="L11" i="19"/>
  <c r="BI44" i="21"/>
  <c r="J9" i="19"/>
  <c r="AK44" i="21"/>
  <c r="G9" i="19"/>
  <c r="AH44" i="21"/>
  <c r="G8" i="19"/>
  <c r="BF44" i="21"/>
  <c r="J8" i="19"/>
  <c r="F9" i="19"/>
  <c r="F10" i="19"/>
  <c r="C8" i="30" s="1"/>
  <c r="F8" i="19"/>
  <c r="I8" i="19"/>
  <c r="I10" i="19"/>
  <c r="I9" i="19"/>
  <c r="C10" i="19"/>
  <c r="C8" i="19"/>
  <c r="C9" i="19"/>
  <c r="B10" i="19"/>
  <c r="B9" i="19"/>
  <c r="B8" i="19"/>
  <c r="B6" i="30" s="1"/>
  <c r="E19" i="19"/>
  <c r="E23" i="19"/>
  <c r="E22" i="19"/>
  <c r="E20" i="19"/>
  <c r="E21" i="19"/>
  <c r="H10" i="19"/>
  <c r="H8" i="19"/>
  <c r="H9" i="19"/>
  <c r="AZ44" i="21"/>
  <c r="H24" i="19" s="1"/>
  <c r="BO44" i="21"/>
  <c r="J20" i="19" s="1"/>
  <c r="J7" i="19"/>
  <c r="AQ44" i="21"/>
  <c r="G20" i="19" s="1"/>
  <c r="G7" i="19"/>
  <c r="F7" i="19"/>
  <c r="F6" i="19"/>
  <c r="C4" i="30" s="1"/>
  <c r="I6" i="19"/>
  <c r="I7" i="19"/>
  <c r="C7" i="19"/>
  <c r="C6" i="19"/>
  <c r="C5" i="19"/>
  <c r="B5" i="19"/>
  <c r="B7" i="19"/>
  <c r="B5" i="30" s="1"/>
  <c r="B6" i="19"/>
  <c r="B4" i="30" s="1"/>
  <c r="H6" i="19"/>
  <c r="D4" i="30" s="1"/>
  <c r="H7" i="19"/>
  <c r="BP34" i="21"/>
  <c r="W7" i="19" s="1"/>
  <c r="BL44" i="21"/>
  <c r="J19" i="19" s="1"/>
  <c r="BD34" i="21"/>
  <c r="V11" i="19" s="1"/>
  <c r="AN44" i="21"/>
  <c r="G19" i="19" s="1"/>
  <c r="AE44" i="21"/>
  <c r="F24" i="19" s="1"/>
  <c r="C38" i="30" s="1"/>
  <c r="BC44" i="21"/>
  <c r="I24" i="19" s="1"/>
  <c r="AB51" i="21"/>
  <c r="E37" i="19" s="1"/>
  <c r="J44" i="21"/>
  <c r="D21" i="19" s="1"/>
  <c r="P44" i="21"/>
  <c r="D19" i="19" s="1"/>
  <c r="S44" i="21"/>
  <c r="D20" i="19" s="1"/>
  <c r="M44" i="21"/>
  <c r="D22" i="19" s="1"/>
  <c r="D44" i="21"/>
  <c r="B24" i="19" s="1"/>
  <c r="G44" i="21"/>
  <c r="C24" i="19" s="1"/>
  <c r="G47" i="14"/>
  <c r="G55" i="14" s="1"/>
  <c r="G47" i="12"/>
  <c r="G55" i="12" s="1"/>
  <c r="B7" i="30" l="1"/>
  <c r="E9" i="30"/>
  <c r="D8" i="30"/>
  <c r="D38" i="30"/>
  <c r="B8" i="30"/>
  <c r="C6" i="30"/>
  <c r="B38" i="30"/>
  <c r="R9" i="30"/>
  <c r="C5" i="30"/>
  <c r="C7" i="30"/>
  <c r="E4" i="30"/>
  <c r="T9" i="30"/>
  <c r="S9" i="30"/>
  <c r="D7" i="30"/>
  <c r="D6" i="30"/>
  <c r="D5" i="30"/>
  <c r="L24" i="19"/>
  <c r="H5" i="19"/>
  <c r="Y11" i="19"/>
  <c r="BJ44" i="21"/>
  <c r="W9" i="19"/>
  <c r="AK51" i="21"/>
  <c r="G35" i="19" s="1"/>
  <c r="G22" i="19"/>
  <c r="AL44" i="21"/>
  <c r="T9" i="19"/>
  <c r="BI51" i="21"/>
  <c r="J35" i="19" s="1"/>
  <c r="J22" i="19"/>
  <c r="BG44" i="21"/>
  <c r="W8" i="19"/>
  <c r="BF51" i="21"/>
  <c r="J34" i="19" s="1"/>
  <c r="J21" i="19"/>
  <c r="AI44" i="21"/>
  <c r="T8" i="19"/>
  <c r="AH51" i="21"/>
  <c r="G34" i="19" s="1"/>
  <c r="G21" i="19"/>
  <c r="V9" i="19"/>
  <c r="V8" i="19"/>
  <c r="V10" i="19"/>
  <c r="I21" i="19"/>
  <c r="I19" i="19"/>
  <c r="I22" i="19"/>
  <c r="I20" i="19"/>
  <c r="I23" i="19"/>
  <c r="F22" i="19"/>
  <c r="F20" i="19"/>
  <c r="C34" i="30" s="1"/>
  <c r="F21" i="19"/>
  <c r="F19" i="19"/>
  <c r="C33" i="30" s="1"/>
  <c r="F23" i="19"/>
  <c r="C37" i="30" s="1"/>
  <c r="S10" i="19"/>
  <c r="S8" i="19"/>
  <c r="S9" i="19"/>
  <c r="C23" i="19"/>
  <c r="C21" i="19"/>
  <c r="C19" i="19"/>
  <c r="C22" i="19"/>
  <c r="C20" i="19"/>
  <c r="C18" i="19"/>
  <c r="P10" i="19"/>
  <c r="P8" i="19"/>
  <c r="P9" i="19"/>
  <c r="E36" i="19"/>
  <c r="E35" i="19"/>
  <c r="E34" i="19"/>
  <c r="E32" i="19"/>
  <c r="E33" i="19"/>
  <c r="U9" i="19"/>
  <c r="U10" i="19"/>
  <c r="U8" i="19"/>
  <c r="L8" i="19"/>
  <c r="H20" i="19"/>
  <c r="D34" i="30" s="1"/>
  <c r="H19" i="19"/>
  <c r="H23" i="19"/>
  <c r="H21" i="19"/>
  <c r="H22" i="19"/>
  <c r="R10" i="19"/>
  <c r="R9" i="19"/>
  <c r="R8" i="19"/>
  <c r="L9" i="19"/>
  <c r="O8" i="19"/>
  <c r="R6" i="30" s="1"/>
  <c r="O9" i="19"/>
  <c r="R7" i="30" s="1"/>
  <c r="O10" i="19"/>
  <c r="AZ51" i="21"/>
  <c r="H37" i="19" s="1"/>
  <c r="B22" i="19"/>
  <c r="B21" i="19"/>
  <c r="B18" i="19"/>
  <c r="B23" i="19"/>
  <c r="B19" i="19"/>
  <c r="B33" i="30" s="1"/>
  <c r="B20" i="19"/>
  <c r="B34" i="30" s="1"/>
  <c r="L10" i="19"/>
  <c r="BO51" i="21"/>
  <c r="J33" i="19" s="1"/>
  <c r="BM44" i="21"/>
  <c r="W19" i="19" s="1"/>
  <c r="AO44" i="21"/>
  <c r="T19" i="19" s="1"/>
  <c r="T6" i="19"/>
  <c r="AQ51" i="21"/>
  <c r="G33" i="19" s="1"/>
  <c r="S6" i="19"/>
  <c r="S7" i="19"/>
  <c r="P7" i="19"/>
  <c r="P6" i="19"/>
  <c r="P5" i="19"/>
  <c r="R5" i="19" s="1"/>
  <c r="T5" i="19" s="1"/>
  <c r="BD44" i="21"/>
  <c r="V24" i="19" s="1"/>
  <c r="V7" i="19"/>
  <c r="V6" i="19"/>
  <c r="R7" i="19"/>
  <c r="R6" i="19"/>
  <c r="O5" i="19"/>
  <c r="O7" i="19"/>
  <c r="O6" i="19"/>
  <c r="AC44" i="21"/>
  <c r="R24" i="19" s="1"/>
  <c r="BA44" i="21"/>
  <c r="U24" i="19" s="1"/>
  <c r="U6" i="19"/>
  <c r="T4" i="30" s="1"/>
  <c r="U7" i="19"/>
  <c r="BP44" i="21"/>
  <c r="W20" i="19" s="1"/>
  <c r="BL51" i="21"/>
  <c r="J32" i="19" s="1"/>
  <c r="Q44" i="21"/>
  <c r="Q19" i="19" s="1"/>
  <c r="H44" i="21"/>
  <c r="P24" i="19" s="1"/>
  <c r="AF44" i="21"/>
  <c r="S24" i="19" s="1"/>
  <c r="T44" i="21"/>
  <c r="Q20" i="19" s="1"/>
  <c r="BC51" i="21"/>
  <c r="I37" i="19" s="1"/>
  <c r="AE51" i="21"/>
  <c r="F37" i="19" s="1"/>
  <c r="C70" i="30" s="1"/>
  <c r="L6" i="19"/>
  <c r="P51" i="21"/>
  <c r="D32" i="19" s="1"/>
  <c r="AR44" i="21"/>
  <c r="T20" i="19" s="1"/>
  <c r="AN51" i="21"/>
  <c r="G32" i="19" s="1"/>
  <c r="S51" i="21"/>
  <c r="D33" i="19" s="1"/>
  <c r="L7" i="19"/>
  <c r="E5" i="19"/>
  <c r="G5" i="19" s="1"/>
  <c r="I5" i="19"/>
  <c r="N44" i="21"/>
  <c r="E44" i="21"/>
  <c r="O24" i="19" s="1"/>
  <c r="K44" i="21"/>
  <c r="Q21" i="19" s="1"/>
  <c r="D51" i="21"/>
  <c r="B37" i="19" s="1"/>
  <c r="G51" i="21"/>
  <c r="C37" i="19" s="1"/>
  <c r="M51" i="21"/>
  <c r="D35" i="19" s="1"/>
  <c r="D5" i="19"/>
  <c r="J51" i="21"/>
  <c r="D34" i="19" s="1"/>
  <c r="B36" i="30" l="1"/>
  <c r="R4" i="30"/>
  <c r="T8" i="30"/>
  <c r="E38" i="30"/>
  <c r="U9" i="30"/>
  <c r="E8" i="30"/>
  <c r="C35" i="30"/>
  <c r="R5" i="30"/>
  <c r="D33" i="30"/>
  <c r="E33" i="30" s="1"/>
  <c r="C36" i="30"/>
  <c r="B70" i="30"/>
  <c r="B37" i="30"/>
  <c r="E6" i="30"/>
  <c r="D70" i="30"/>
  <c r="R38" i="30"/>
  <c r="R8" i="30"/>
  <c r="B35" i="30"/>
  <c r="D37" i="30"/>
  <c r="E5" i="30"/>
  <c r="E7" i="30"/>
  <c r="E34" i="30"/>
  <c r="T38" i="30"/>
  <c r="S6" i="30"/>
  <c r="S38" i="30"/>
  <c r="T5" i="30"/>
  <c r="S8" i="30"/>
  <c r="S5" i="30"/>
  <c r="D35" i="30"/>
  <c r="S7" i="30"/>
  <c r="D36" i="30"/>
  <c r="T7" i="30"/>
  <c r="T6" i="30"/>
  <c r="S4" i="30"/>
  <c r="Y24" i="19"/>
  <c r="L37" i="19"/>
  <c r="L22" i="19"/>
  <c r="BM51" i="21"/>
  <c r="W32" i="19" s="1"/>
  <c r="N51" i="21"/>
  <c r="Q35" i="19" s="1"/>
  <c r="Q22" i="19"/>
  <c r="AL51" i="21"/>
  <c r="T35" i="19" s="1"/>
  <c r="T22" i="19"/>
  <c r="BJ51" i="21"/>
  <c r="W35" i="19" s="1"/>
  <c r="W22" i="19"/>
  <c r="AI51" i="21"/>
  <c r="T34" i="19" s="1"/>
  <c r="T21" i="19"/>
  <c r="BG51" i="21"/>
  <c r="W34" i="19" s="1"/>
  <c r="W21" i="19"/>
  <c r="I34" i="19"/>
  <c r="I32" i="19"/>
  <c r="I36" i="19"/>
  <c r="I35" i="19"/>
  <c r="I33" i="19"/>
  <c r="P23" i="19"/>
  <c r="P21" i="19"/>
  <c r="P19" i="19"/>
  <c r="P22" i="19"/>
  <c r="P20" i="19"/>
  <c r="P18" i="19"/>
  <c r="C36" i="19"/>
  <c r="C34" i="19"/>
  <c r="C32" i="19"/>
  <c r="C35" i="19"/>
  <c r="C33" i="19"/>
  <c r="C31" i="19"/>
  <c r="I18" i="19"/>
  <c r="E18" i="19"/>
  <c r="G18" i="19" s="1"/>
  <c r="F35" i="19"/>
  <c r="C68" i="30" s="1"/>
  <c r="F33" i="19"/>
  <c r="C66" i="30" s="1"/>
  <c r="F34" i="19"/>
  <c r="C67" i="30" s="1"/>
  <c r="F32" i="19"/>
  <c r="C65" i="30" s="1"/>
  <c r="F36" i="19"/>
  <c r="C69" i="30" s="1"/>
  <c r="S22" i="19"/>
  <c r="S20" i="19"/>
  <c r="S21" i="19"/>
  <c r="S19" i="19"/>
  <c r="S23" i="19"/>
  <c r="BD51" i="21"/>
  <c r="V37" i="19" s="1"/>
  <c r="V21" i="19"/>
  <c r="V19" i="19"/>
  <c r="V23" i="19"/>
  <c r="V22" i="19"/>
  <c r="V20" i="19"/>
  <c r="L21" i="19"/>
  <c r="Y9" i="19"/>
  <c r="Y10" i="19"/>
  <c r="B34" i="19"/>
  <c r="B31" i="19"/>
  <c r="B33" i="19"/>
  <c r="B35" i="19"/>
  <c r="B36" i="19"/>
  <c r="B32" i="19"/>
  <c r="Y8" i="19"/>
  <c r="L23" i="19"/>
  <c r="H32" i="19"/>
  <c r="H35" i="19"/>
  <c r="D68" i="30" s="1"/>
  <c r="H33" i="19"/>
  <c r="D66" i="30" s="1"/>
  <c r="H36" i="19"/>
  <c r="H34" i="19"/>
  <c r="AC51" i="21"/>
  <c r="R37" i="19" s="1"/>
  <c r="R20" i="19"/>
  <c r="R19" i="19"/>
  <c r="R23" i="19"/>
  <c r="R22" i="19"/>
  <c r="R21" i="19"/>
  <c r="O23" i="19"/>
  <c r="R37" i="30" s="1"/>
  <c r="O19" i="19"/>
  <c r="O22" i="19"/>
  <c r="O21" i="19"/>
  <c r="O18" i="19"/>
  <c r="O20" i="19"/>
  <c r="BA51" i="21"/>
  <c r="U37" i="19" s="1"/>
  <c r="U23" i="19"/>
  <c r="T37" i="30" s="1"/>
  <c r="U21" i="19"/>
  <c r="U20" i="19"/>
  <c r="T34" i="30" s="1"/>
  <c r="U19" i="19"/>
  <c r="T33" i="30" s="1"/>
  <c r="U22" i="19"/>
  <c r="H18" i="19"/>
  <c r="D18" i="19"/>
  <c r="F18" i="19" s="1"/>
  <c r="Q51" i="21"/>
  <c r="Q32" i="19" s="1"/>
  <c r="V5" i="19"/>
  <c r="AO51" i="21"/>
  <c r="T32" i="19" s="1"/>
  <c r="BP51" i="21"/>
  <c r="W33" i="19" s="1"/>
  <c r="AF51" i="21"/>
  <c r="S37" i="19" s="1"/>
  <c r="Y6" i="19"/>
  <c r="H51" i="21"/>
  <c r="P37" i="19" s="1"/>
  <c r="Y7" i="19"/>
  <c r="L19" i="19"/>
  <c r="Q5" i="19"/>
  <c r="S5" i="19" s="1"/>
  <c r="U5" i="19"/>
  <c r="L20" i="19"/>
  <c r="T51" i="21"/>
  <c r="Q33" i="19" s="1"/>
  <c r="AR51" i="21"/>
  <c r="T33" i="19" s="1"/>
  <c r="F5" i="19"/>
  <c r="L5" i="19" s="1"/>
  <c r="K51" i="21"/>
  <c r="Q34" i="19" s="1"/>
  <c r="E51" i="21"/>
  <c r="O37" i="19" s="1"/>
  <c r="U4" i="30" l="1"/>
  <c r="E36" i="30"/>
  <c r="E70" i="30"/>
  <c r="U8" i="30"/>
  <c r="B66" i="30"/>
  <c r="E66" i="30" s="1"/>
  <c r="D69" i="30"/>
  <c r="B68" i="30"/>
  <c r="E68" i="30" s="1"/>
  <c r="R35" i="30"/>
  <c r="E37" i="30"/>
  <c r="E35" i="30"/>
  <c r="U38" i="30"/>
  <c r="R70" i="30"/>
  <c r="R36" i="30"/>
  <c r="B65" i="30"/>
  <c r="R34" i="30"/>
  <c r="R33" i="30"/>
  <c r="S37" i="30"/>
  <c r="U37" i="30" s="1"/>
  <c r="D67" i="30"/>
  <c r="D65" i="30"/>
  <c r="B69" i="30"/>
  <c r="B67" i="30"/>
  <c r="U6" i="30"/>
  <c r="U5" i="30"/>
  <c r="T70" i="30"/>
  <c r="S34" i="30"/>
  <c r="S70" i="30"/>
  <c r="S33" i="30"/>
  <c r="U7" i="30"/>
  <c r="S36" i="30"/>
  <c r="S35" i="30"/>
  <c r="T36" i="30"/>
  <c r="T35" i="30"/>
  <c r="D3" i="30"/>
  <c r="B3" i="30"/>
  <c r="C3" i="30"/>
  <c r="Y37" i="19"/>
  <c r="Y20" i="19"/>
  <c r="L32" i="19"/>
  <c r="S35" i="19"/>
  <c r="S33" i="19"/>
  <c r="S34" i="19"/>
  <c r="S32" i="19"/>
  <c r="S36" i="19"/>
  <c r="R18" i="19"/>
  <c r="T18" i="19" s="1"/>
  <c r="V18" i="19"/>
  <c r="P36" i="19"/>
  <c r="P34" i="19"/>
  <c r="P32" i="19"/>
  <c r="P35" i="19"/>
  <c r="P33" i="19"/>
  <c r="P31" i="19"/>
  <c r="V34" i="19"/>
  <c r="V32" i="19"/>
  <c r="V36" i="19"/>
  <c r="V35" i="19"/>
  <c r="V33" i="19"/>
  <c r="E31" i="19"/>
  <c r="G31" i="19" s="1"/>
  <c r="I31" i="19"/>
  <c r="Y23" i="19"/>
  <c r="L35" i="19"/>
  <c r="L33" i="19"/>
  <c r="Y21" i="19"/>
  <c r="O33" i="19"/>
  <c r="O31" i="19"/>
  <c r="O36" i="19"/>
  <c r="O32" i="19"/>
  <c r="O35" i="19"/>
  <c r="O34" i="19"/>
  <c r="U35" i="19"/>
  <c r="U36" i="19"/>
  <c r="T69" i="30" s="1"/>
  <c r="U34" i="19"/>
  <c r="U33" i="19"/>
  <c r="T66" i="30" s="1"/>
  <c r="U32" i="19"/>
  <c r="T65" i="30" s="1"/>
  <c r="Y22" i="19"/>
  <c r="R34" i="19"/>
  <c r="R33" i="19"/>
  <c r="S66" i="30" s="1"/>
  <c r="R32" i="19"/>
  <c r="R36" i="19"/>
  <c r="R35" i="19"/>
  <c r="S68" i="30" s="1"/>
  <c r="H31" i="19"/>
  <c r="D31" i="19"/>
  <c r="F31" i="19" s="1"/>
  <c r="Q18" i="19"/>
  <c r="S18" i="19" s="1"/>
  <c r="U18" i="19"/>
  <c r="Y19" i="19"/>
  <c r="L36" i="19"/>
  <c r="L34" i="19"/>
  <c r="Y5" i="19"/>
  <c r="L18" i="19"/>
  <c r="R68" i="30" l="1"/>
  <c r="R66" i="30"/>
  <c r="E69" i="30"/>
  <c r="U66" i="30"/>
  <c r="R67" i="30"/>
  <c r="E65" i="30"/>
  <c r="E67" i="30"/>
  <c r="U33" i="30"/>
  <c r="U70" i="30"/>
  <c r="U34" i="30"/>
  <c r="S69" i="30"/>
  <c r="R65" i="30"/>
  <c r="T68" i="30"/>
  <c r="R69" i="30"/>
  <c r="E3" i="30"/>
  <c r="T67" i="30"/>
  <c r="S65" i="30"/>
  <c r="S67" i="30"/>
  <c r="U35" i="30"/>
  <c r="U36" i="30"/>
  <c r="T3" i="30"/>
  <c r="S3" i="30"/>
  <c r="R3" i="30"/>
  <c r="C32" i="30"/>
  <c r="B32" i="30"/>
  <c r="D32" i="30"/>
  <c r="Y34" i="19"/>
  <c r="R31" i="19"/>
  <c r="T31" i="19" s="1"/>
  <c r="V31" i="19"/>
  <c r="L31" i="19"/>
  <c r="Y18" i="19"/>
  <c r="Y35" i="19"/>
  <c r="Y33" i="19"/>
  <c r="U31" i="19"/>
  <c r="Q31" i="19"/>
  <c r="S31" i="19" s="1"/>
  <c r="Y32" i="19"/>
  <c r="Y36" i="19"/>
  <c r="U68" i="30" l="1"/>
  <c r="U65" i="30"/>
  <c r="U3" i="30"/>
  <c r="U69" i="30"/>
  <c r="U67" i="30"/>
  <c r="E32" i="30"/>
  <c r="R32" i="30"/>
  <c r="T32" i="30"/>
  <c r="S32" i="30"/>
  <c r="B64" i="30"/>
  <c r="D64" i="30"/>
  <c r="C64" i="30"/>
  <c r="Y31" i="19"/>
  <c r="U32" i="30" l="1"/>
  <c r="E64" i="30"/>
  <c r="R64" i="30"/>
  <c r="T64" i="30"/>
  <c r="S64" i="30"/>
  <c r="U64" i="3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tc={65B4F382-DECE-4579-93DD-49178B953CCB}</author>
  </authors>
  <commentList>
    <comment ref="A56" authorId="0" shapeId="0" xr:uid="{65B4F382-DECE-4579-93DD-49178B953CCB}">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2 à 3 ans en fonction du nombre de cultures. Par exemple une rotation MG-Soya représente un cycle de 2 ans (an 1 = MG et an 2 = Soya) tandis qu’une rotation MG-Soya-Blé d’automne représente un cycle de 3 ans (an 1 = MG, an 2 = Soya et an 3 = Blé d’automne) .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tc={948E878C-2CC3-4225-AA0E-8251E1595A7C}</author>
  </authors>
  <commentList>
    <comment ref="G19" authorId="0" shapeId="0" xr:uid="{948E878C-2CC3-4225-AA0E-8251E1595A7C}">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Si vous avez une charge globale, inscrivez la totalité de la charge dans une même cellule.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tc={41E53384-470F-4D32-AF4E-BAD4657ED004}</author>
    <author>tc={2E682791-02D3-4834-9AD4-DBD508CAC2AA}</author>
    <author>tc={47B06710-3157-4EC1-8B89-C96CA9C26D39}</author>
    <author>tc={4995D280-72BA-46DB-AC98-0FCA8391D645}</author>
  </authors>
  <commentList>
    <comment ref="E16" authorId="0" shapeId="0" xr:uid="{41E53384-470F-4D32-AF4E-BAD4657ED004}">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Ce poste budgétaire inclut les charges de fertilisants et de chaux, qui sont regroupées dans les études de coûts du CECPA.</t>
        </r>
      </text>
    </comment>
    <comment ref="E20" authorId="1" shapeId="0" xr:uid="{2E682791-02D3-4834-9AD4-DBD508CAC2AA}">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charges de location de machinerie et bâtiments, de fonds de terre et de travaux à forfait puisque les études de coûts du CECPA regroupent ces charges.</t>
        </r>
      </text>
    </comment>
    <comment ref="E24" authorId="2" shapeId="0" xr:uid="{47B06710-3157-4EC1-8B89-C96CA9C26D39}">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charges d'entretien et réparation machinerie regroupent les charges de carburants et gaz propane pour refléter les charges "opérations culturales" dans les études de coûts du CECPA</t>
        </r>
      </text>
    </comment>
    <comment ref="E44" authorId="3" shapeId="0" xr:uid="{4995D280-72BA-46DB-AC98-0FCA8391D64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poste "Autres frais" réfère au poste "Autres frais" des études de coûts du CECPA. Il est possible que ces autres coûts incluent les charges d'Assurances diverses, de taxes foncières et d'intérêts à moyen et long terme.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tc={FE9EC1F6-2DDA-4B6E-9393-02D15F51EA17}</author>
    <author>tc={45F6E142-CB69-4216-8A66-5956155E17B9}</author>
    <author>tc={0E7FC899-77A0-47A8-90CF-EEA0DE827DE1}</author>
    <author>tc={D1FB5849-4D37-4EC1-B1EC-C6EC072D2F87}</author>
  </authors>
  <commentList>
    <comment ref="E16" authorId="0" shapeId="0" xr:uid="{FE9EC1F6-2DDA-4B6E-9393-02D15F51EA17}">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Ce poste budgétaire inclut les charges de fertilisants et de chaux, qui sont regroupées dans les études de coûts du CECPA.</t>
        </r>
      </text>
    </comment>
    <comment ref="E20" authorId="1" shapeId="0" xr:uid="{45F6E142-CB69-4216-8A66-5956155E17B9}">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charges de location de machinerie et bâtiments, de fonds de terre et de travaux à forfait puisque les études de coûts du CECPA regroupent ces charges.</t>
        </r>
      </text>
    </comment>
    <comment ref="E24" authorId="2" shapeId="0" xr:uid="{0E7FC899-77A0-47A8-90CF-EEA0DE827DE1}">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charges d'entretien et réparation machinerie regroupent les charges de carburants et gaz propane pour refléter les charges "opérations culturales" dans les études de coûts du CECPA</t>
        </r>
      </text>
    </comment>
    <comment ref="E44" authorId="3" shapeId="0" xr:uid="{D1FB5849-4D37-4EC1-B1EC-C6EC072D2F87}">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poste "Autres frais" réfère au poste "Autres frais" des études de coûts du CECPA. Il est possible que ces autres coûts incluent les charges d'Assurances diverses, de taxes foncières et d'intérêts à moyen et long terme.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tc={4E12919E-65EF-4E16-8553-F1AEFE1992CC}</author>
    <author>tc={5CA65002-9BFF-4B18-9013-39907DF99AAF}</author>
  </authors>
  <commentList>
    <comment ref="B7" authorId="0" shapeId="0" xr:uid="{4E12919E-65EF-4E16-8553-F1AEFE1992CC}">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25 % de plus que le rendement du blé de printemps. Cette information peut être modifiée pour les exploitations agricoles en indiquant le rendement des productions elles-mêmes dans l'onglet "Saisie" sous la section "Vos rendements".</t>
        </r>
      </text>
    </comment>
    <comment ref="B10" authorId="1" shapeId="0" xr:uid="{5CA65002-9BFF-4B18-9013-39907DF99AAF}">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Des échanges avec agronomes et producteurs agricoles nous amènent à modifier le rendement du seigle hybride à 1 T/ha plus élevé que le rendement du blé d'automne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tc={7DEAB615-5AE4-44C0-9428-EF7B296386D5}</author>
  </authors>
  <commentList>
    <comment ref="B9" authorId="0" shapeId="0" xr:uid="{7DEAB615-5AE4-44C0-9428-EF7B296386D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Des échanges avec des agronomes et des producteurs agricoles nous amènent à changer le prix du seigle à 75 % du prix du blé.</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tc={AF55EDD3-B118-4049-905A-ACB35C88574F}</author>
    <author>tc={BF612131-6AC7-4B6F-90B7-7858052BA545}</author>
  </authors>
  <commentList>
    <comment ref="B3" authorId="0" shapeId="0" xr:uid="{AF55EDD3-B118-4049-905A-ACB35C88574F}">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2 à 3 ans en fonction du nombre de cultures. Par exemple une rotation MG-Soya représente un cycle de 2 ans (an 1 = MG et an 2 = Soya) tandis qu’une rotation MG-Soya-Blé d’automne représente un cycle de 3 ans (an 1 = MG, an 2 = Soya et an 3 = Blé d’automne) . </t>
        </r>
      </text>
    </comment>
    <comment ref="O3" authorId="1" shapeId="0" xr:uid="{BF612131-6AC7-4B6F-90B7-7858052BA545}">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2 à 3 ans en fonction du nombre de cultures. Par exemple une rotation MG-Soya représente un cycle de 2 ans (an 1 = MG et an 2 = Soya) tandis qu’une rotation MG-Soya-Blé d’automne représente un cycle de 3 ans (an 1 = MG, an 2 = Soya et an 3 = Blé d’automne) . </t>
        </r>
      </text>
    </comment>
  </commentList>
</comments>
</file>

<file path=xl/sharedStrings.xml><?xml version="1.0" encoding="utf-8"?>
<sst xmlns="http://schemas.openxmlformats.org/spreadsheetml/2006/main" count="858" uniqueCount="217">
  <si>
    <t>Maïs-grain</t>
  </si>
  <si>
    <t>Soya</t>
  </si>
  <si>
    <t>Orge</t>
  </si>
  <si>
    <t>Avoine</t>
  </si>
  <si>
    <t>Le modèle utilise les rendements ci-dessous pour la région sélectionnée. Si les rendements présents ne reflètent pas ceux observés sur votre ferme, nous vous invitons à les indiquer dans la colonne inscrite à cet effet. Si votre exploitation ne produit pas cette culture, ne rien inscrire dans la colonne.</t>
  </si>
  <si>
    <t>Rendements associés à la région</t>
  </si>
  <si>
    <t>Vos rendements</t>
  </si>
  <si>
    <t>Centrale</t>
  </si>
  <si>
    <t>Prix associés à la région</t>
  </si>
  <si>
    <t>Vos prix</t>
  </si>
  <si>
    <t>Le modèle utilise les prix ci-dessous. Si les prix présents ne reflètent pas ceux observés sur votre ferme, nous vous invitons à les indiquer dans la colonne inscrite à cet effet. Si votre exploitation ne produit pas cette culture, ne rien inscrire dans la colonne.</t>
  </si>
  <si>
    <t>Compensation d'assurance stabilisation</t>
  </si>
  <si>
    <t>PRODUITS</t>
  </si>
  <si>
    <t>TOTAL PRODUITS</t>
  </si>
  <si>
    <t xml:space="preserve">FRAIS VARIABLES  </t>
  </si>
  <si>
    <t>Fertilisants</t>
  </si>
  <si>
    <t>Chaulage</t>
  </si>
  <si>
    <t>Pesticides</t>
  </si>
  <si>
    <t>Location de machineries, bâtiments</t>
  </si>
  <si>
    <t>Location de fonds de terre</t>
  </si>
  <si>
    <t>Travaux à forfait</t>
  </si>
  <si>
    <t>Mais-d'oeuvre additionnelle</t>
  </si>
  <si>
    <t>Entretien et réparation machinerie</t>
  </si>
  <si>
    <t>Carburants</t>
  </si>
  <si>
    <t>Gaz propane</t>
  </si>
  <si>
    <t>Électricité</t>
  </si>
  <si>
    <t>Frais de mise en marché</t>
  </si>
  <si>
    <t>Intérêts sur emprunt à court terme</t>
  </si>
  <si>
    <t>Sous-total</t>
  </si>
  <si>
    <t>Contribution d'assurance stabilisation</t>
  </si>
  <si>
    <t>Contribution aux autres programmes</t>
  </si>
  <si>
    <t>FRAIS FIXES</t>
  </si>
  <si>
    <t>Entretien bâtiments et fonds de terre</t>
  </si>
  <si>
    <t>MARGE BÉNÉFICIAIRE APRÈS COÛTS VARIABLES</t>
  </si>
  <si>
    <t>Assurances diverses</t>
  </si>
  <si>
    <t>Taxes foncières</t>
  </si>
  <si>
    <t>Intérêts sur emprunts à moyen et long terme</t>
  </si>
  <si>
    <t>Autres frais</t>
  </si>
  <si>
    <t>Revenus de sous-produits</t>
  </si>
  <si>
    <t>Autres revenus</t>
  </si>
  <si>
    <t>MARGE BÉNÉFICIAIRE APRÈS FRAIS MONÉTAIRES</t>
  </si>
  <si>
    <t>Amortissements</t>
  </si>
  <si>
    <t>Rénumération du travail de l'exploitant</t>
  </si>
  <si>
    <t>Rénumération de l'avoir du propriétaire</t>
  </si>
  <si>
    <t>tm/ha</t>
  </si>
  <si>
    <t>$/tm</t>
  </si>
  <si>
    <t>Blé d'automne</t>
  </si>
  <si>
    <t>Blé de printemps</t>
  </si>
  <si>
    <t>Vos coûts</t>
  </si>
  <si>
    <t>Vos Coûts</t>
  </si>
  <si>
    <t>Centrale Conventionnelle</t>
  </si>
  <si>
    <t>Conventionnelle</t>
  </si>
  <si>
    <t>Région &amp; Régie</t>
  </si>
  <si>
    <t>Région et Régie</t>
  </si>
  <si>
    <t>RENDEMENT</t>
  </si>
  <si>
    <t>PRIX</t>
  </si>
  <si>
    <t>RÉGION</t>
  </si>
  <si>
    <t>TYPE DE RÉGIE</t>
  </si>
  <si>
    <t>OBJECTIFS</t>
  </si>
  <si>
    <t>DESCRIPTION DES ONGLETS</t>
  </si>
  <si>
    <t>Saisie</t>
  </si>
  <si>
    <t>LIMITES</t>
  </si>
  <si>
    <t>CONTACTS</t>
  </si>
  <si>
    <t>$/ha</t>
  </si>
  <si>
    <t>MARGE BÉNÉFICIAIRE APRÈS FRAIS MONÉTAIRES (MARGE MONÉTAIRE)</t>
  </si>
  <si>
    <t>MARGE BÉNÉFICIAIRE APRÈS COÛTS VARIABLES (MARGE VARIABLE)</t>
  </si>
  <si>
    <t>Prix de marché</t>
  </si>
  <si>
    <t>Rendement du modèle</t>
  </si>
  <si>
    <t>Revenu stabilisé ajusté</t>
  </si>
  <si>
    <t>Blé d'alimentation humaine</t>
  </si>
  <si>
    <t>Blé d'alimentation animale</t>
  </si>
  <si>
    <t>2020-2021</t>
  </si>
  <si>
    <t>Votre ferme</t>
  </si>
  <si>
    <t>Vente</t>
  </si>
  <si>
    <t>Semence</t>
  </si>
  <si>
    <t>An 1</t>
  </si>
  <si>
    <t>An 2</t>
  </si>
  <si>
    <t>An 3</t>
  </si>
  <si>
    <t>An 4</t>
  </si>
  <si>
    <t>An 5</t>
  </si>
  <si>
    <t>An 6</t>
  </si>
  <si>
    <t>MG-SOYA</t>
  </si>
  <si>
    <t>Résultats du modèle</t>
  </si>
  <si>
    <t>Marge bénéficiaire après coûts variables (marge variable)</t>
  </si>
  <si>
    <t>Moyenne annuelle</t>
  </si>
  <si>
    <t>Marge bénéficiaire après frais monétaire (marge monétaire)</t>
  </si>
  <si>
    <t>Marge bénéficiaire après les amortissements et les rémunérations du travail et de l'avoir (marge nette)</t>
  </si>
  <si>
    <t>Résultats de votre ferme</t>
  </si>
  <si>
    <t>RÉSULTATS DU MODÈLE</t>
  </si>
  <si>
    <t>Année</t>
  </si>
  <si>
    <t>Lieu</t>
  </si>
  <si>
    <t>Résultats</t>
  </si>
  <si>
    <t>Sources</t>
  </si>
  <si>
    <t>Guelph, Ontario</t>
  </si>
  <si>
    <t>Rotations</t>
  </si>
  <si>
    <t>A. Monoculture maïs
B. Maïs-Soya
C. Maïs-Soya-Blé d'automne
D. Maïs-Soya-Blé d'automne_CC de trèfle rouge dans blé d'automne</t>
  </si>
  <si>
    <t>La rotation B permet des rendements de maïs entre 5-27 % plus élevée que la monoculture de maïs, et de soya entre 5-17 % plus élevé que la monoculture de soya.
La rotation C permet des rendements de maïs de 12 % plus élevé que la rotation B, et des gains de rendements de soya de 10 % plus élevé que la rotation B.
L'ajout de trèfle rouge augmente les rendements de 5 %.</t>
  </si>
  <si>
    <t>Pennsylvanie</t>
  </si>
  <si>
    <t>A. Monoculture maïs
B. Maïs-Soya
C. 4 X Maïs- 4 X Luzerne
D. Maïs-Avoine/Blé- 2 X Trèfle Rouge / Fléole des prés</t>
  </si>
  <si>
    <t>La rotation C permet des rendement de maïs entre 7 et 12 % plus élevée que la monoculture de maïs.</t>
  </si>
  <si>
    <t>Saint-Hyacinthe et Normandin</t>
  </si>
  <si>
    <t>A. Monoculture maïs
B. Monoculture soya
C. Maïs-soya
D. Maïs-soya-Blé</t>
  </si>
  <si>
    <t xml:space="preserve">La rotation permet des gains de rendements de maïs de 6.8 % lorsqu'il y a labour et de 7.7 % lorsqu'il y a chisel par rapport à la monoculture.
La rotation permet des gains de rendement du soya de 6.3 % lorsqu'il y a labour et de 3.5 % lorsqu'il y a chisel par rapport à la monoculture. </t>
  </si>
  <si>
    <t>Beloeil</t>
  </si>
  <si>
    <t>A. Monoculture de maïs
B. Maïs-Soya-Blé
C. Maïs-Soya-Blé-3X Prairie
D. Prairie</t>
  </si>
  <si>
    <t>La rotation B permet des gains de rendements du maïs-grain de 14 % par rapport à la monoculture de maïs.
La rotation C permet des gains de rendements de maïs-grain de 11 % par rapport à la monoculture de maïs.</t>
  </si>
  <si>
    <r>
      <t xml:space="preserve">Tremblay G. (2016) </t>
    </r>
    <r>
      <rPr>
        <i/>
        <sz val="11"/>
        <color theme="1"/>
        <rFont val="Calibri"/>
        <family val="2"/>
        <scheme val="minor"/>
      </rPr>
      <t>Bénéfices des rotations en grandes cultures</t>
    </r>
    <r>
      <rPr>
        <sz val="11"/>
        <color theme="1"/>
        <rFont val="Calibri"/>
        <family val="2"/>
        <scheme val="minor"/>
      </rPr>
      <t>. Drummondville : CÉROM. 42 pages.</t>
    </r>
  </si>
  <si>
    <t>Seigle hybride</t>
  </si>
  <si>
    <t>GAINS AGRONOMIQUES DE LA ROTATION ET CULTURES DE COUVERTURE</t>
  </si>
  <si>
    <t>Semences</t>
  </si>
  <si>
    <t>Gains de rendement</t>
  </si>
  <si>
    <t>Vos gains de rendement</t>
  </si>
  <si>
    <t>1. Les gains agronomiques considérés dans ce modèle correspondent à l'augmentation de rendement attendu par la diversification des rotations et l'ajout d'une culture de couverture et à nombre d'unités d'azote fourni par la culture de couverture.</t>
  </si>
  <si>
    <t>Gains azotés</t>
  </si>
  <si>
    <t>Unités d'azote</t>
  </si>
  <si>
    <t>Vos gains azoté</t>
  </si>
  <si>
    <t>% de gains agronomiques lors de la première rotation</t>
  </si>
  <si>
    <t xml:space="preserve">% de gains agronomiques  </t>
  </si>
  <si>
    <t>% de gains de votre ferme</t>
  </si>
  <si>
    <t>Cet onglet présente les modèles utilisés pour générer les coûts de production des cultures. L'utilisateur peut modifier les coûts pour refléter sa situation. Si un poste de dépenses ou de revenus n'est pas modifié par l'utilisateur, le modèle sélectionnera la donnée inscrite dans la région centrale ou périphérique.</t>
  </si>
  <si>
    <t>ASRA_Calculs</t>
  </si>
  <si>
    <t>Rendements_CECPA / Prix_CECPA</t>
  </si>
  <si>
    <t>Le modèle retient les données de l'ASRA pour calculer le prix minimal attendu par le producteur agricole. Les données de cet onglet devront être mis à jour annuellement.</t>
  </si>
  <si>
    <t>Intermédiaire_Prod-Résultats</t>
  </si>
  <si>
    <t>Cet onglet lie les données inscrites par l'usager et les résultats.</t>
  </si>
  <si>
    <t>Cet onglet présente les résultats des marges bénéficiaires brutes, des marges monétaires et des marges nettes pour différentes rotations. Les résultats sont divisés entre ceux obtenus par le modèle (bleu) et ceux incorporant les modifications effectuées par l'usager (orange).</t>
  </si>
  <si>
    <r>
      <t>Le modèle utilise les gains agronomiques</t>
    </r>
    <r>
      <rPr>
        <vertAlign val="superscript"/>
        <sz val="11"/>
        <color theme="1"/>
        <rFont val="Calibri"/>
        <family val="2"/>
        <scheme val="minor"/>
      </rPr>
      <t>1</t>
    </r>
    <r>
      <rPr>
        <sz val="11"/>
        <color theme="1"/>
        <rFont val="Calibri"/>
        <family val="2"/>
        <scheme val="minor"/>
      </rPr>
      <t xml:space="preserve"> ci-dessous. Si ces gains ne reflètent pas ceux observés sur votre ferme, nous vous invitons à les indiquer dans la colonne inscrite à cet effet. Si votre exploitation ne produit pas cette culture, ne rien inscrire dans la colonne. Si aucunes cultures de couverture ou engrais verts ne sont considérés par votre entreprise, inscrire 0 dans la case de gains azotée prévue à cet effet.</t>
    </r>
  </si>
  <si>
    <t>Total ($/ha)</t>
  </si>
  <si>
    <t>Coûts de semences</t>
  </si>
  <si>
    <t>Opérations de semis</t>
  </si>
  <si>
    <t>Mélange avoine-pois-radis précédant un maïs</t>
  </si>
  <si>
    <t>Québec</t>
  </si>
  <si>
    <t>Rotation</t>
  </si>
  <si>
    <t>Cultures de couverture</t>
  </si>
  <si>
    <t>Les cultures de couverture en A permettent une augmentation du rendement de maïs de 13 % et des céréales de 22 %. Aucun impact dans le soya.
Les cultures de couverture en B permettent une augmentation du rendement de maïs de 11 % et des céréales de 11 %. Aucun impact dans le soya.</t>
  </si>
  <si>
    <t>A. Tous types de cultures de couverture, tout mode d'implantation
B. Tous types de cultures de couverture, implantation en dérobé et intercalaire.</t>
  </si>
  <si>
    <r>
      <t xml:space="preserve">Vanasse A., Thibaudeau S. &amp; Weill A. (2022). </t>
    </r>
    <r>
      <rPr>
        <i/>
        <sz val="11"/>
        <color theme="1"/>
        <rFont val="Calibri"/>
        <family val="2"/>
        <scheme val="minor"/>
      </rPr>
      <t xml:space="preserve">Guide des cultures de couverture en grandes cultures. </t>
    </r>
    <r>
      <rPr>
        <sz val="11"/>
        <color theme="1"/>
        <rFont val="Calibri"/>
        <family val="2"/>
        <scheme val="minor"/>
      </rPr>
      <t>Centre de référence en agriculture et agroalimentaire au Québec (CRAAQ). 204 pages.</t>
    </r>
  </si>
  <si>
    <t>Radis huileux</t>
  </si>
  <si>
    <t>Pois fourrager</t>
  </si>
  <si>
    <t>Quantité (kg/ha)</t>
  </si>
  <si>
    <t>Prix ($/25kg)</t>
  </si>
  <si>
    <t>Coûts de semis-direct</t>
  </si>
  <si>
    <t>Coût total de la culture de couverture</t>
  </si>
  <si>
    <t>Présence de cultures de couverture</t>
  </si>
  <si>
    <t>Aucun gains agronomiques</t>
  </si>
  <si>
    <t>50 % de gains agronomiques</t>
  </si>
  <si>
    <t>Seigle</t>
  </si>
  <si>
    <t>Correspond à un mélange de pois fourrager, avoine et radis huileux. Les doses de semis proviennent du guide des cultures de couverture en grandes cultures provenant du CRAAQ. Le coût des semences provient des références économiques du CRAAQ sur les grains de semences. Le coût du semis-direct provient des références économique du CRAAQ sur la machinerie.</t>
  </si>
  <si>
    <t>Revenus de pailles</t>
  </si>
  <si>
    <t>Coût unitaire de l'azote</t>
  </si>
  <si>
    <t>100 % de gains agronomiques</t>
  </si>
  <si>
    <t>Total des intrants</t>
  </si>
  <si>
    <t>Main-d'oeuvre additionnelle</t>
  </si>
  <si>
    <t>Cet outil documente plusieurs types de marges bénéficiaires attendus selon la rotation employée. Cet outil se veut une aide à la décision pour le producteur agricole.</t>
  </si>
  <si>
    <t>Total des frais de machinerie et main-d'oeuvre</t>
  </si>
  <si>
    <t>Total des autres frais directs</t>
  </si>
  <si>
    <r>
      <t xml:space="preserve">Gaudin A.C.M., Tolhurst T.N., Ker A.P., Janovicek K., Tortora C., et al. (2015). Increasing Crop Diversity Mitigates Weather Variations and Improves Yield Stability. Dans </t>
    </r>
    <r>
      <rPr>
        <i/>
        <sz val="11"/>
        <color theme="1"/>
        <rFont val="Calibri"/>
        <family val="2"/>
        <scheme val="minor"/>
      </rPr>
      <t>Plos One</t>
    </r>
    <r>
      <rPr>
        <sz val="11"/>
        <color theme="1"/>
        <rFont val="Calibri"/>
        <family val="2"/>
        <scheme val="minor"/>
      </rPr>
      <t>. Vol 10(2). 20 pages.</t>
    </r>
  </si>
  <si>
    <t>A. Monoculture maïs
B. Maïs-Maïs-Soya-Soya
C. Maïs-Maïs-Luzerne-Luzerne
D. Maïs-Maïs-Soya-Blé d'automne
E. Maïs-Maïs-Avoine-Orge
F. Maïs-Maïs-Soya-Blé d'automne_CC de trèfle rouge dans blé d'automne
G. Maïs-Maïs-Avoine_CC de trèfle rouge dans l'avoine-Orge_CC de trèfle rouge dans l'orge</t>
  </si>
  <si>
    <t xml:space="preserve">La rotation B n'a aucune différence significative avec la rotation A. 
La rotation C permet des rendements de maïs 10 % plus élevés.
La rotation D n'a aucune différence significative pour le rendement du maïs que la rotation B, mais permet des rendements 14 % plus élevés pour le soya que la rotation B.
Les rotations E et F n'ont aucunes différences significatives avec la rotation B. 
La rotation G permet des rendements de 6 % plus élevés que la rotation B.
</t>
  </si>
  <si>
    <t>An 7</t>
  </si>
  <si>
    <t>An 8</t>
  </si>
  <si>
    <t>An 9</t>
  </si>
  <si>
    <t>-</t>
  </si>
  <si>
    <t>An 10</t>
  </si>
  <si>
    <t>MG-SOYA-ORGE</t>
  </si>
  <si>
    <t>MG-SOYA-AVOINE</t>
  </si>
  <si>
    <t>MG-SOYA-SEIGLE</t>
  </si>
  <si>
    <t>Cet onglet permet de modifier les données initiales de l'entreprise agricole, notamment quant aux prix et aux rendements des différentes cultures. Le producteur peut donc inscrire ses propres prix et le rendement attendu dans les colonnes "Vos prix" et "Vos rendements". Si votre exploitation ne cultive pas cette production, ne rien inscrire dans la colonne "Vos rendements".
L'outil considère des gains agronomiques liés à la diversification de la rotation et à l'ajout d'une culture de couverture. Vous pouvez inscrire les gains agronomiques attendus liés à la diversification de la rotation dans la colonne "Vos gains agronomiques". De plus, nous considérons que la culture de couverture permet de compenser pour la fertilisation azotée. Vous pouvez inscrire la compensation azotée attendue dans vos champs.
Enfin, cet outil prend en compte que les gains provenant de la diversification de la rotation et de l'ajout de culture de couverture n'est pas instantanné. Ainsi, l'outil permet d'ajuster la portion des gains agronomiques attendus suite au premier cycle de rotation des cultures.</t>
  </si>
  <si>
    <t>Maïs-grain / Soya / Orge / Avoine / Blé d'automne / Blé de printemps / Seigle / Seigle hybride</t>
  </si>
  <si>
    <t>Il est à noter que cet outil est un outil d'aide à la décision et il doit être utiliser uniquement en ce sens. Avant de prendre des décisions de production, nous recommandons à ce que le producteur consulte son agronome-conseil pour prendre en compte tous les facteurs spécifiques à son entreprise agricole.  Toutes décisions prises par les producteurs à l'aide de cet outil sont la responsabilité du producteur agricole et n'engage en aucun cas le groupe Concertation Grains Québec et les auteurs de l'outil.</t>
  </si>
  <si>
    <t>Marlène Thiboutot, Concertation Grains Québec.</t>
  </si>
  <si>
    <t>marlenethiboutot@concertationgrainsquebec.ca</t>
  </si>
  <si>
    <t>Cycle 1</t>
  </si>
  <si>
    <t>Cycle 2</t>
  </si>
  <si>
    <t>Cycle 3</t>
  </si>
  <si>
    <t>AUTRES PRATIQUES BÉNÉFIQUES</t>
  </si>
  <si>
    <t>Autres coûts</t>
  </si>
  <si>
    <t>Vos autres coûts</t>
  </si>
  <si>
    <t>Agri-Québec et Agri-Investissement</t>
  </si>
  <si>
    <t>GAINS PROGRESSIFS</t>
  </si>
  <si>
    <t>Cette section vous permet d'inscrire d'autres coûts de pratiques de gestion bénéfiques que vous utilisez sur votre production agricole. Considérez ici tous les coûts et bénéfices enregistrés sur votre entreprise agricole pour une rotation.</t>
  </si>
  <si>
    <t>MG-SOYA-BLÉ D'AUTOMNE PANIFIABLE</t>
  </si>
  <si>
    <t>MG-SOYA-BLÉ DE PRINTEMPS PANIFIABLE</t>
  </si>
  <si>
    <t>MG-SOYA-SEIGLE HYBRIDE D'AUTOMNE</t>
  </si>
  <si>
    <t>MARGE BÉNÉFICIAIRE APRÈS LES AMORTISSEMENTS ET LES RÉMUNÉRATIONS DU TRAVAIL ET DE L'AVOIR (MARGE NETTE)</t>
  </si>
  <si>
    <t>MARGE BÉNÉFICIAIRE APRÈS LES AMORTISSEMENTS ET LES RÉMUNÉRATIONS DU TRAVAIL ET DE L'AVOIR</t>
  </si>
  <si>
    <t>CONCEPTEURS</t>
  </si>
  <si>
    <t>Le présent outil est la propriété de Lota D. Tamini et de Philippe Leriche. Les propriétaires autorisent le groupe Concertation Grains Québec à diffuser l'outil, mais n'autorisent pas la commercialisation de celui-ci. Toutes autres diffusions ou commercialisations ne peuvent se faire sans l'autorisation écrites de ses propriétaires.</t>
  </si>
  <si>
    <t>Résultats détaillés</t>
  </si>
  <si>
    <t>Blé de printemps panifiable</t>
  </si>
  <si>
    <t>Blé d'automne panifiable</t>
  </si>
  <si>
    <t>Seigle hybride d'automne</t>
  </si>
  <si>
    <t>Rendements utilisés par le modèle (t/ha)</t>
  </si>
  <si>
    <t>Prix utilisés par le modèle ($/t)</t>
  </si>
  <si>
    <t>Oui</t>
  </si>
  <si>
    <t>FRAIS NON MONÉTAIRES</t>
  </si>
  <si>
    <t>Résultats sommaires</t>
  </si>
  <si>
    <t>ROTATIONS</t>
  </si>
  <si>
    <t>Gains agronomiques - Cycle 3</t>
  </si>
  <si>
    <t>Gains agronomiques - Cycle 2</t>
  </si>
  <si>
    <t>Gains agronomiques - Cycle 1</t>
  </si>
  <si>
    <t>Cet onglet présente les résultats des marges bénéficiaires brutes, des marges monétaires et des marges nettes selon les différents cycles de rotations. Les résultats sont divisés entre ceux obtenus par le modèle (bleu) et ceux incorporant les modifications effectuées par l'usager (orange). Il s'agit d'une récapitulation des résultats.</t>
  </si>
  <si>
    <t>Moyenne annuelle 
Cycle 1</t>
  </si>
  <si>
    <t>Moyenne annuelle 
Cycle 2</t>
  </si>
  <si>
    <t>Moyenne annuelle 
Cycle 3</t>
  </si>
  <si>
    <t>Moyenne annuelle des trois cycles</t>
  </si>
  <si>
    <t>Marge bénéficiaire après frais variables, moyenne annuelle ($/ha)</t>
  </si>
  <si>
    <t>Ces onglets présentent les rendements et prix utilisés par le modèle. Ces données devront être mises à jour périodiquement.</t>
  </si>
  <si>
    <t>Gains agronomiques</t>
  </si>
  <si>
    <t>Cet onglet présente les différents gains agronomiques attendus lors de la diversification de la rotation et l'ajout de cultures de couverture. Ces données devront être mises à jour périodiquement.</t>
  </si>
  <si>
    <t>Cet onglet présente les coûts relatifs à la cultures de couverture.</t>
  </si>
  <si>
    <t>Le modèle considère que les gains agronomiques attendus ne seront pas perçus lors du premier cycle de rotation puisqu'il y a une courbe d'apprentissage lorsque l'on se familiarise avec une nouvelle technique et pour prendre en compte l'amélioration progressive de la terre. Le modèle considère donc des portions des gains agronomiques présentés ici. Si ces gains ne reflètent pas ceux observés sur votre ferme, nous vous invitons à les indiquer dans la colonne inscrite à cet effet.</t>
  </si>
  <si>
    <t>Marge bénéficiaire après frais monétaires, moyenne annuelle ($/ha)</t>
  </si>
  <si>
    <t>Marge bénéficiaire après amortissement et rénumération du travail et de l'avoir, moyenne annuelle ($/ha)</t>
  </si>
  <si>
    <t>Marge bénéficiaire après frais variables de votre ferme, moyenne annuelle ($/ha)</t>
  </si>
  <si>
    <t>Marge bénéficiaire après frais monétaires de votre ferme, moyenne annuelle ($/ha)</t>
  </si>
  <si>
    <t>Marge bénéficiaire après amortissement et rémunération du travail et de l'avoir de votre ferme, moyenne annuelle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</si>
</sst>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0.0"/>
    <numFmt numFmtId="166" formatCode="#\ ##0\ &quot;$&quot;"/>
  </numFmts>
  <fonts count="9" x14ac:knownFonts="1">
    <font>
      <sz val="11"/>
      <color theme="1"/>
      <name val="Calibri"/>
      <family val="2"/>
      <scheme val="minor"/>
    </font>
    <font>
      <b/>
      <sz val="11"/>
      <color theme="1"/>
      <name val="Calibri"/>
      <family val="2"/>
      <scheme val="minor"/>
    </font>
    <font>
      <vertAlign val="superscript"/>
      <sz val="11"/>
      <color theme="1"/>
      <name val="Calibri"/>
      <family val="2"/>
      <scheme val="minor"/>
    </font>
    <font>
      <b/>
      <sz val="12"/>
      <color theme="1"/>
      <name val="Calibri"/>
      <family val="2"/>
      <scheme val="minor"/>
    </font>
    <font>
      <b/>
      <sz val="14"/>
      <color theme="1"/>
      <name val="Calibri"/>
      <family val="2"/>
      <scheme val="minor"/>
    </font>
    <font>
      <i/>
      <sz val="11"/>
      <color theme="1"/>
      <name val="Calibri"/>
      <family val="2"/>
      <scheme val="minor"/>
    </font>
    <font>
      <sz val="8"/>
      <name val="Calibri"/>
      <family val="2"/>
      <scheme val="minor"/>
    </font>
    <font>
      <u/>
      <sz val="11"/>
      <color theme="10"/>
      <name val="Calibri"/>
      <family val="2"/>
      <scheme val="minor"/>
    </font>
    <font>
      <sz val="12"/>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5" tint="0.59999389629810485"/>
        <bgColor indexed="64"/>
      </patternFill>
    </fill>
    <fill>
      <patternFill patternType="solid">
        <fgColor theme="5" tint="0.39997558519241921"/>
        <bgColor indexed="64"/>
      </patternFill>
    </fill>
  </fills>
  <borders count="35">
    <border>
      <left/>
      <right/>
      <top/>
      <bottom/>
      <diagonal/>
    </border>
    <border>
      <left style="dashed">
        <color auto="1"/>
      </left>
      <right style="dashed">
        <color auto="1"/>
      </right>
      <top style="dashed">
        <color auto="1"/>
      </top>
      <bottom style="dashed">
        <color auto="1"/>
      </bottom>
      <diagonal/>
    </border>
    <border>
      <left/>
      <right/>
      <top style="thin">
        <color auto="1"/>
      </top>
      <bottom/>
      <diagonal/>
    </border>
    <border>
      <left style="dashed">
        <color auto="1"/>
      </left>
      <right style="dashed">
        <color auto="1"/>
      </right>
      <top style="dashed">
        <color auto="1"/>
      </top>
      <bottom/>
      <diagonal/>
    </border>
    <border>
      <left/>
      <right/>
      <top style="thin">
        <color indexed="64"/>
      </top>
      <bottom style="double">
        <color indexed="64"/>
      </bottom>
      <diagonal/>
    </border>
    <border>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auto="1"/>
      </top>
      <bottom/>
      <diagonal/>
    </border>
    <border>
      <left style="thin">
        <color indexed="64"/>
      </left>
      <right/>
      <top style="thin">
        <color indexed="64"/>
      </top>
      <bottom style="double">
        <color indexed="64"/>
      </bottom>
      <diagonal/>
    </border>
    <border>
      <left/>
      <right/>
      <top style="dashed">
        <color auto="1"/>
      </top>
      <bottom/>
      <diagonal/>
    </border>
    <border>
      <left/>
      <right/>
      <top style="dashed">
        <color auto="1"/>
      </top>
      <bottom style="dashed">
        <color auto="1"/>
      </bottom>
      <diagonal/>
    </border>
    <border>
      <left/>
      <right/>
      <top style="dashed">
        <color auto="1"/>
      </top>
      <bottom style="thin">
        <color indexed="64"/>
      </bottom>
      <diagonal/>
    </border>
    <border>
      <left style="dashed">
        <color indexed="64"/>
      </left>
      <right/>
      <top style="thin">
        <color indexed="64"/>
      </top>
      <bottom style="thin">
        <color indexed="64"/>
      </bottom>
      <diagonal/>
    </border>
    <border>
      <left style="dashed">
        <color indexed="64"/>
      </left>
      <right/>
      <top style="thin">
        <color indexed="64"/>
      </top>
      <bottom style="dashed">
        <color indexed="64"/>
      </bottom>
      <diagonal/>
    </border>
    <border>
      <left style="dashed">
        <color auto="1"/>
      </left>
      <right/>
      <top style="dashed">
        <color auto="1"/>
      </top>
      <bottom style="dashed">
        <color auto="1"/>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s>
  <cellStyleXfs count="2">
    <xf numFmtId="0" fontId="0" fillId="0" borderId="0"/>
    <xf numFmtId="0" fontId="7" fillId="0" borderId="0" applyNumberFormat="0" applyFill="0" applyBorder="0" applyAlignment="0" applyProtection="0"/>
  </cellStyleXfs>
  <cellXfs count="117">
    <xf numFmtId="0" fontId="0" fillId="0" borderId="0" xfId="0"/>
    <xf numFmtId="0" fontId="1" fillId="0" borderId="0" xfId="0" applyFont="1"/>
    <xf numFmtId="0" fontId="1" fillId="0" borderId="0" xfId="0" applyFont="1" applyAlignment="1">
      <alignment horizontal="center"/>
    </xf>
    <xf numFmtId="2" fontId="0" fillId="0" borderId="0" xfId="0" applyNumberFormat="1"/>
    <xf numFmtId="2" fontId="1" fillId="0" borderId="0" xfId="0" applyNumberFormat="1" applyFont="1"/>
    <xf numFmtId="2" fontId="0" fillId="2" borderId="1" xfId="0" applyNumberFormat="1" applyFill="1" applyBorder="1"/>
    <xf numFmtId="2" fontId="1" fillId="0" borderId="2" xfId="0" applyNumberFormat="1" applyFont="1" applyBorder="1"/>
    <xf numFmtId="0" fontId="1" fillId="0" borderId="2" xfId="0" applyFont="1" applyBorder="1"/>
    <xf numFmtId="2" fontId="0" fillId="2" borderId="3" xfId="0" applyNumberFormat="1" applyFill="1" applyBorder="1"/>
    <xf numFmtId="2" fontId="1" fillId="0" borderId="4" xfId="0" applyNumberFormat="1" applyFont="1" applyBorder="1"/>
    <xf numFmtId="0" fontId="1" fillId="0" borderId="5" xfId="0" applyFont="1" applyBorder="1"/>
    <xf numFmtId="0" fontId="0" fillId="0" borderId="5" xfId="0" applyBorder="1"/>
    <xf numFmtId="0" fontId="1" fillId="0" borderId="0" xfId="0" applyFont="1" applyAlignment="1">
      <alignment vertical="center"/>
    </xf>
    <xf numFmtId="0" fontId="1" fillId="0" borderId="0" xfId="0" applyFont="1" applyAlignment="1">
      <alignment vertical="center" wrapText="1"/>
    </xf>
    <xf numFmtId="0" fontId="3" fillId="0" borderId="0" xfId="0" applyFont="1" applyAlignment="1">
      <alignment horizontal="center"/>
    </xf>
    <xf numFmtId="0" fontId="1" fillId="0" borderId="8" xfId="0" applyFont="1" applyBorder="1" applyAlignment="1">
      <alignment horizontal="center"/>
    </xf>
    <xf numFmtId="0" fontId="1" fillId="0" borderId="6" xfId="0" applyFont="1" applyBorder="1" applyAlignment="1">
      <alignment horizontal="center"/>
    </xf>
    <xf numFmtId="2" fontId="0" fillId="0" borderId="10" xfId="0" applyNumberFormat="1" applyBorder="1"/>
    <xf numFmtId="2" fontId="0" fillId="0" borderId="11" xfId="0" applyNumberFormat="1" applyBorder="1"/>
    <xf numFmtId="2" fontId="0" fillId="0" borderId="1" xfId="0" applyNumberFormat="1" applyBorder="1"/>
    <xf numFmtId="2" fontId="0" fillId="0" borderId="13" xfId="0" applyNumberFormat="1" applyBorder="1"/>
    <xf numFmtId="0" fontId="0" fillId="0" borderId="14" xfId="0" applyBorder="1"/>
    <xf numFmtId="0" fontId="0" fillId="0" borderId="15" xfId="0" applyBorder="1"/>
    <xf numFmtId="0" fontId="1" fillId="0" borderId="7" xfId="0" applyFont="1" applyBorder="1" applyAlignment="1">
      <alignment horizontal="center"/>
    </xf>
    <xf numFmtId="2" fontId="0" fillId="0" borderId="9" xfId="0" applyNumberFormat="1" applyBorder="1"/>
    <xf numFmtId="2" fontId="0" fillId="0" borderId="12" xfId="0" applyNumberFormat="1" applyBorder="1"/>
    <xf numFmtId="0" fontId="0" fillId="3" borderId="0" xfId="0" applyFill="1" applyAlignment="1">
      <alignment horizontal="center"/>
    </xf>
    <xf numFmtId="0" fontId="0" fillId="4" borderId="0" xfId="0" applyFill="1" applyAlignment="1">
      <alignment horizontal="center"/>
    </xf>
    <xf numFmtId="0" fontId="0" fillId="5" borderId="1" xfId="0" applyFill="1" applyBorder="1"/>
    <xf numFmtId="0" fontId="3" fillId="4" borderId="5" xfId="0" applyFont="1" applyFill="1" applyBorder="1" applyAlignment="1">
      <alignment horizontal="center"/>
    </xf>
    <xf numFmtId="0" fontId="3" fillId="6" borderId="5" xfId="0" applyFont="1" applyFill="1" applyBorder="1" applyAlignment="1">
      <alignment horizontal="center"/>
    </xf>
    <xf numFmtId="0" fontId="0" fillId="0" borderId="0" xfId="0" applyAlignment="1">
      <alignment vertical="center"/>
    </xf>
    <xf numFmtId="0" fontId="0" fillId="0" borderId="0" xfId="0" applyAlignment="1">
      <alignment vertical="center" wrapText="1"/>
    </xf>
    <xf numFmtId="0" fontId="1" fillId="0" borderId="0" xfId="0" applyFont="1" applyAlignment="1">
      <alignment horizontal="left" wrapText="1"/>
    </xf>
    <xf numFmtId="9" fontId="0" fillId="0" borderId="0" xfId="0" applyNumberFormat="1"/>
    <xf numFmtId="0" fontId="0" fillId="0" borderId="0" xfId="0" applyAlignment="1">
      <alignment horizontal="center"/>
    </xf>
    <xf numFmtId="0" fontId="0" fillId="0" borderId="0" xfId="0" applyAlignment="1">
      <alignment horizontal="left" wrapText="1"/>
    </xf>
    <xf numFmtId="0" fontId="0" fillId="0" borderId="0" xfId="0" applyAlignment="1">
      <alignment horizontal="left" indent="2"/>
    </xf>
    <xf numFmtId="0" fontId="1" fillId="0" borderId="16" xfId="0" applyFont="1" applyBorder="1" applyAlignment="1">
      <alignment horizontal="center"/>
    </xf>
    <xf numFmtId="0" fontId="3" fillId="6" borderId="17" xfId="0" applyFont="1" applyFill="1" applyBorder="1" applyAlignment="1">
      <alignment horizontal="center"/>
    </xf>
    <xf numFmtId="0" fontId="0" fillId="0" borderId="16" xfId="0" applyBorder="1"/>
    <xf numFmtId="2" fontId="0" fillId="0" borderId="16" xfId="0" applyNumberFormat="1" applyBorder="1"/>
    <xf numFmtId="2" fontId="1" fillId="0" borderId="18" xfId="0" applyNumberFormat="1" applyFont="1" applyBorder="1"/>
    <xf numFmtId="2" fontId="1" fillId="0" borderId="16" xfId="0" applyNumberFormat="1" applyFont="1" applyBorder="1"/>
    <xf numFmtId="2" fontId="1" fillId="0" borderId="19" xfId="0" applyNumberFormat="1" applyFont="1" applyBorder="1"/>
    <xf numFmtId="0" fontId="1" fillId="0" borderId="23" xfId="0" applyFont="1" applyBorder="1" applyAlignment="1">
      <alignment horizontal="center"/>
    </xf>
    <xf numFmtId="2" fontId="0" fillId="0" borderId="24" xfId="0" applyNumberFormat="1" applyBorder="1"/>
    <xf numFmtId="2" fontId="0" fillId="0" borderId="24" xfId="0" applyNumberFormat="1" applyBorder="1" applyAlignment="1">
      <alignment horizontal="center"/>
    </xf>
    <xf numFmtId="0" fontId="0" fillId="0" borderId="25" xfId="0" applyBorder="1" applyAlignment="1">
      <alignment horizontal="center"/>
    </xf>
    <xf numFmtId="2" fontId="0" fillId="0" borderId="25" xfId="0" applyNumberFormat="1" applyBorder="1"/>
    <xf numFmtId="1" fontId="0" fillId="0" borderId="0" xfId="0" applyNumberFormat="1"/>
    <xf numFmtId="0" fontId="0" fillId="0" borderId="26" xfId="0" applyBorder="1"/>
    <xf numFmtId="2" fontId="0" fillId="0" borderId="25" xfId="0" applyNumberFormat="1" applyBorder="1" applyAlignment="1">
      <alignment horizontal="center"/>
    </xf>
    <xf numFmtId="2" fontId="1" fillId="0" borderId="21" xfId="0" applyNumberFormat="1" applyFont="1" applyBorder="1"/>
    <xf numFmtId="2" fontId="1" fillId="0" borderId="22" xfId="0" applyNumberFormat="1" applyFont="1" applyBorder="1"/>
    <xf numFmtId="2" fontId="1" fillId="0" borderId="20" xfId="0" applyNumberFormat="1" applyFont="1" applyBorder="1"/>
    <xf numFmtId="165" fontId="0" fillId="0" borderId="0" xfId="0" applyNumberFormat="1"/>
    <xf numFmtId="0" fontId="7" fillId="0" borderId="0" xfId="1"/>
    <xf numFmtId="164" fontId="0" fillId="0" borderId="0" xfId="0" applyNumberFormat="1"/>
    <xf numFmtId="164" fontId="0" fillId="5" borderId="1" xfId="0" applyNumberFormat="1" applyFill="1" applyBorder="1"/>
    <xf numFmtId="0" fontId="0" fillId="0" borderId="28" xfId="0" applyBorder="1"/>
    <xf numFmtId="0" fontId="0" fillId="0" borderId="27" xfId="0" applyBorder="1"/>
    <xf numFmtId="0" fontId="0" fillId="0" borderId="32" xfId="0" applyBorder="1"/>
    <xf numFmtId="0" fontId="3" fillId="3" borderId="2" xfId="0" applyFont="1" applyFill="1" applyBorder="1" applyAlignment="1">
      <alignment horizontal="center"/>
    </xf>
    <xf numFmtId="0" fontId="3" fillId="4" borderId="2" xfId="0" applyFont="1" applyFill="1" applyBorder="1" applyAlignment="1">
      <alignment horizontal="center"/>
    </xf>
    <xf numFmtId="0" fontId="3" fillId="0" borderId="5" xfId="0" applyFont="1" applyBorder="1"/>
    <xf numFmtId="0" fontId="3" fillId="6" borderId="2" xfId="0" applyFont="1" applyFill="1" applyBorder="1" applyAlignment="1">
      <alignment horizontal="center"/>
    </xf>
    <xf numFmtId="0" fontId="8" fillId="0" borderId="5" xfId="0" applyFont="1" applyBorder="1"/>
    <xf numFmtId="0" fontId="1" fillId="6" borderId="0" xfId="0" applyFont="1" applyFill="1"/>
    <xf numFmtId="166" fontId="0" fillId="0" borderId="29" xfId="0" applyNumberFormat="1" applyBorder="1" applyAlignment="1">
      <alignment horizontal="center"/>
    </xf>
    <xf numFmtId="166" fontId="0" fillId="0" borderId="30" xfId="0" applyNumberFormat="1" applyBorder="1" applyAlignment="1">
      <alignment horizontal="center"/>
    </xf>
    <xf numFmtId="166" fontId="0" fillId="0" borderId="31" xfId="0" applyNumberFormat="1" applyBorder="1" applyAlignment="1">
      <alignment horizontal="center"/>
    </xf>
    <xf numFmtId="166" fontId="0" fillId="0" borderId="17" xfId="0" applyNumberFormat="1" applyBorder="1" applyAlignment="1">
      <alignment horizontal="center"/>
    </xf>
    <xf numFmtId="166" fontId="0" fillId="0" borderId="33" xfId="0" applyNumberFormat="1" applyBorder="1" applyAlignment="1">
      <alignment horizontal="center"/>
    </xf>
    <xf numFmtId="166" fontId="0" fillId="0" borderId="18" xfId="0" applyNumberFormat="1" applyBorder="1" applyAlignment="1">
      <alignment horizontal="center"/>
    </xf>
    <xf numFmtId="0" fontId="1" fillId="7" borderId="0" xfId="0" applyFont="1" applyFill="1"/>
    <xf numFmtId="0" fontId="1" fillId="8" borderId="0" xfId="0" applyFont="1" applyFill="1"/>
    <xf numFmtId="0" fontId="1" fillId="4" borderId="0" xfId="0" applyFont="1" applyFill="1" applyAlignment="1">
      <alignment horizontal="left"/>
    </xf>
    <xf numFmtId="0" fontId="0" fillId="0" borderId="0" xfId="0" applyAlignment="1">
      <alignment wrapText="1"/>
    </xf>
    <xf numFmtId="0" fontId="1" fillId="0" borderId="34" xfId="0" applyFont="1" applyBorder="1" applyAlignment="1">
      <alignment horizontal="center" wrapText="1"/>
    </xf>
    <xf numFmtId="0" fontId="1" fillId="0" borderId="26" xfId="0" applyFont="1" applyBorder="1" applyAlignment="1">
      <alignment horizontal="center" wrapText="1"/>
    </xf>
    <xf numFmtId="0" fontId="1" fillId="0" borderId="16" xfId="0" applyFont="1" applyBorder="1" applyAlignment="1">
      <alignment horizontal="center" wrapText="1"/>
    </xf>
    <xf numFmtId="0" fontId="1" fillId="0" borderId="16" xfId="0" applyFont="1" applyBorder="1" applyAlignment="1">
      <alignment horizontal="center" vertical="center" wrapText="1"/>
    </xf>
    <xf numFmtId="0" fontId="1" fillId="4" borderId="0" xfId="0" applyFont="1" applyFill="1"/>
    <xf numFmtId="0" fontId="1" fillId="9" borderId="0" xfId="0" applyFont="1" applyFill="1"/>
    <xf numFmtId="0" fontId="1" fillId="10" borderId="0" xfId="0" applyFont="1" applyFill="1"/>
    <xf numFmtId="0" fontId="1" fillId="9" borderId="0" xfId="0" applyFont="1" applyFill="1" applyAlignment="1">
      <alignment horizontal="left"/>
    </xf>
    <xf numFmtId="0" fontId="1" fillId="10" borderId="0" xfId="0" applyFont="1" applyFill="1" applyAlignment="1">
      <alignment horizontal="left"/>
    </xf>
    <xf numFmtId="0" fontId="0" fillId="0" borderId="0" xfId="0" applyAlignment="1">
      <alignment horizontal="left" wrapText="1"/>
    </xf>
    <xf numFmtId="0" fontId="0" fillId="0" borderId="0" xfId="0" applyAlignment="1">
      <alignment horizontal="left" vertical="top" wrapText="1"/>
    </xf>
    <xf numFmtId="0" fontId="1" fillId="0" borderId="0" xfId="0" applyFont="1" applyAlignment="1">
      <alignment horizontal="center"/>
    </xf>
    <xf numFmtId="0" fontId="0" fillId="0" borderId="0" xfId="0" applyAlignment="1">
      <alignment horizontal="center"/>
    </xf>
    <xf numFmtId="0" fontId="0" fillId="0" borderId="2" xfId="0" applyBorder="1" applyAlignment="1">
      <alignment horizontal="left" wrapText="1"/>
    </xf>
    <xf numFmtId="0" fontId="0" fillId="0" borderId="0" xfId="0" applyAlignment="1">
      <alignment horizontal="center" vertical="center" wrapText="1"/>
    </xf>
    <xf numFmtId="0" fontId="1" fillId="0" borderId="0" xfId="0" applyFont="1" applyAlignment="1">
      <alignment horizontal="left" wrapText="1"/>
    </xf>
    <xf numFmtId="0" fontId="1" fillId="0" borderId="16" xfId="0" applyFont="1" applyBorder="1" applyAlignment="1">
      <alignment horizontal="center"/>
    </xf>
    <xf numFmtId="0" fontId="4" fillId="8" borderId="0" xfId="0" applyFont="1" applyFill="1" applyAlignment="1">
      <alignment horizontal="center"/>
    </xf>
    <xf numFmtId="0" fontId="3" fillId="8" borderId="0" xfId="0" applyFont="1" applyFill="1" applyAlignment="1">
      <alignment horizontal="center"/>
    </xf>
    <xf numFmtId="0" fontId="3" fillId="4" borderId="0" xfId="0" applyFont="1" applyFill="1" applyAlignment="1">
      <alignment horizontal="center"/>
    </xf>
    <xf numFmtId="0" fontId="4" fillId="4" borderId="0" xfId="0" applyFont="1" applyFill="1" applyAlignment="1">
      <alignment horizontal="center"/>
    </xf>
    <xf numFmtId="0" fontId="3" fillId="9" borderId="0" xfId="0" applyFont="1" applyFill="1" applyAlignment="1">
      <alignment horizontal="center"/>
    </xf>
    <xf numFmtId="0" fontId="4" fillId="9" borderId="0" xfId="0" applyFont="1" applyFill="1" applyAlignment="1">
      <alignment horizontal="center"/>
    </xf>
    <xf numFmtId="0" fontId="4" fillId="6" borderId="0" xfId="0" applyFont="1" applyFill="1" applyAlignment="1">
      <alignment horizontal="center"/>
    </xf>
    <xf numFmtId="0" fontId="3" fillId="6" borderId="0" xfId="0" applyFont="1" applyFill="1" applyAlignment="1">
      <alignment horizontal="center"/>
    </xf>
    <xf numFmtId="0" fontId="4" fillId="7" borderId="0" xfId="0" applyFont="1" applyFill="1" applyAlignment="1">
      <alignment horizontal="center"/>
    </xf>
    <xf numFmtId="0" fontId="3" fillId="7" borderId="0" xfId="0" applyFont="1" applyFill="1" applyAlignment="1">
      <alignment horizontal="center"/>
    </xf>
    <xf numFmtId="0" fontId="4" fillId="10" borderId="0" xfId="0" applyFont="1" applyFill="1" applyAlignment="1">
      <alignment horizontal="center"/>
    </xf>
    <xf numFmtId="0" fontId="3" fillId="10" borderId="0" xfId="0" applyFont="1" applyFill="1" applyAlignment="1">
      <alignment horizontal="center"/>
    </xf>
    <xf numFmtId="0" fontId="3" fillId="0" borderId="17" xfId="0" applyFont="1" applyBorder="1" applyAlignment="1">
      <alignment horizontal="center"/>
    </xf>
    <xf numFmtId="0" fontId="3" fillId="0" borderId="5" xfId="0" applyFont="1" applyBorder="1" applyAlignment="1">
      <alignment horizontal="center"/>
    </xf>
    <xf numFmtId="0" fontId="3" fillId="0" borderId="27" xfId="0" applyFont="1" applyBorder="1" applyAlignment="1">
      <alignment horizontal="center"/>
    </xf>
    <xf numFmtId="0" fontId="1" fillId="6" borderId="0" xfId="0" applyFont="1" applyFill="1" applyAlignment="1">
      <alignment horizontal="center" wrapText="1"/>
    </xf>
    <xf numFmtId="0" fontId="1" fillId="7" borderId="0" xfId="0" applyFont="1" applyFill="1" applyAlignment="1">
      <alignment horizontal="center" wrapText="1"/>
    </xf>
    <xf numFmtId="0" fontId="1" fillId="8" borderId="0" xfId="0" applyFont="1" applyFill="1" applyAlignment="1">
      <alignment horizontal="center" wrapText="1"/>
    </xf>
    <xf numFmtId="0" fontId="1" fillId="4" borderId="0" xfId="0" applyFont="1" applyFill="1" applyAlignment="1">
      <alignment horizontal="center" wrapText="1"/>
    </xf>
    <xf numFmtId="0" fontId="1" fillId="9" borderId="0" xfId="0" applyFont="1" applyFill="1" applyAlignment="1">
      <alignment horizontal="center" wrapText="1"/>
    </xf>
    <xf numFmtId="0" fontId="1" fillId="10" borderId="0" xfId="0" applyFont="1" applyFill="1" applyAlignment="1">
      <alignment horizontal="center"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variables,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sommaires'!$A$3</c:f>
              <c:strCache>
                <c:ptCount val="1"/>
                <c:pt idx="0">
                  <c:v>MG-SOYA</c:v>
                </c:pt>
              </c:strCache>
            </c:strRef>
          </c:tx>
          <c:spPr>
            <a:ln w="28575" cap="rnd">
              <a:solidFill>
                <a:schemeClr val="accent1"/>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sommaires'!$B$3:$D$3</c:f>
              <c:numCache>
                <c:formatCode>#\ ##0\ "$"</c:formatCode>
                <c:ptCount val="3"/>
                <c:pt idx="0">
                  <c:v>1880.3265100000003</c:v>
                </c:pt>
                <c:pt idx="1">
                  <c:v>1880.3265100000003</c:v>
                </c:pt>
                <c:pt idx="2">
                  <c:v>1880.3265100000003</c:v>
                </c:pt>
              </c:numCache>
            </c:numRef>
          </c:val>
          <c:smooth val="0"/>
          <c:extLst>
            <c:ext xmlns:c16="http://schemas.microsoft.com/office/drawing/2014/chart" uri="{C3380CC4-5D6E-409C-BE32-E72D297353CC}">
              <c16:uniqueId val="{00000000-58B7-466B-991C-7DE2AD9BC673}"/>
            </c:ext>
          </c:extLst>
        </c:ser>
        <c:ser>
          <c:idx val="1"/>
          <c:order val="1"/>
          <c:tx>
            <c:strRef>
              <c:f>'Résultats sommaires'!$A$4</c:f>
              <c:strCache>
                <c:ptCount val="1"/>
                <c:pt idx="0">
                  <c:v>MG-SOYA-BLÉ D'AUTOMNE PANIFIABLE</c:v>
                </c:pt>
              </c:strCache>
            </c:strRef>
          </c:tx>
          <c:spPr>
            <a:ln w="28575" cap="rnd">
              <a:solidFill>
                <a:schemeClr val="accent2"/>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sommaires'!$B$4:$D$4</c:f>
              <c:numCache>
                <c:formatCode>#\ ##0\ "$"</c:formatCode>
                <c:ptCount val="3"/>
                <c:pt idx="0">
                  <c:v>1584.9633733333333</c:v>
                </c:pt>
                <c:pt idx="1">
                  <c:v>1742.8667359999999</c:v>
                </c:pt>
                <c:pt idx="2">
                  <c:v>1900.7700986666671</c:v>
                </c:pt>
              </c:numCache>
            </c:numRef>
          </c:val>
          <c:smooth val="0"/>
          <c:extLst>
            <c:ext xmlns:c16="http://schemas.microsoft.com/office/drawing/2014/chart" uri="{C3380CC4-5D6E-409C-BE32-E72D297353CC}">
              <c16:uniqueId val="{00000001-58B7-466B-991C-7DE2AD9BC673}"/>
            </c:ext>
          </c:extLst>
        </c:ser>
        <c:ser>
          <c:idx val="2"/>
          <c:order val="2"/>
          <c:tx>
            <c:strRef>
              <c:f>'Résultats sommaires'!$A$5</c:f>
              <c:strCache>
                <c:ptCount val="1"/>
                <c:pt idx="0">
                  <c:v>MG-SOYA-BLÉ DE PRINTEMPS PANIFIABLE</c:v>
                </c:pt>
              </c:strCache>
            </c:strRef>
          </c:tx>
          <c:spPr>
            <a:ln w="28575" cap="rnd">
              <a:solidFill>
                <a:srgbClr val="7030A0"/>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sommaires'!$B$5:$D$5</c:f>
              <c:numCache>
                <c:formatCode>#\ ##0\ "$"</c:formatCode>
                <c:ptCount val="3"/>
                <c:pt idx="0">
                  <c:v>1464.4604733333335</c:v>
                </c:pt>
                <c:pt idx="1">
                  <c:v>1616.2644459999999</c:v>
                </c:pt>
                <c:pt idx="2">
                  <c:v>1768.068418666667</c:v>
                </c:pt>
              </c:numCache>
            </c:numRef>
          </c:val>
          <c:smooth val="0"/>
          <c:extLst>
            <c:ext xmlns:c16="http://schemas.microsoft.com/office/drawing/2014/chart" uri="{C3380CC4-5D6E-409C-BE32-E72D297353CC}">
              <c16:uniqueId val="{00000002-58B7-466B-991C-7DE2AD9BC673}"/>
            </c:ext>
          </c:extLst>
        </c:ser>
        <c:ser>
          <c:idx val="3"/>
          <c:order val="3"/>
          <c:tx>
            <c:strRef>
              <c:f>'Résultats sommaires'!$A$6</c:f>
              <c:strCache>
                <c:ptCount val="1"/>
                <c:pt idx="0">
                  <c:v>MG-SOYA-ORGE</c:v>
                </c:pt>
              </c:strCache>
            </c:strRef>
          </c:tx>
          <c:spPr>
            <a:ln w="28575" cap="rnd">
              <a:solidFill>
                <a:schemeClr val="accent4"/>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sommaires'!$B$6:$D$6</c:f>
              <c:numCache>
                <c:formatCode>#\ ##0\ "$"</c:formatCode>
                <c:ptCount val="3"/>
                <c:pt idx="0">
                  <c:v>1353.2831400000002</c:v>
                </c:pt>
                <c:pt idx="1">
                  <c:v>1499.7723526666666</c:v>
                </c:pt>
                <c:pt idx="2">
                  <c:v>1646.2615653333335</c:v>
                </c:pt>
              </c:numCache>
            </c:numRef>
          </c:val>
          <c:smooth val="0"/>
          <c:extLst>
            <c:ext xmlns:c16="http://schemas.microsoft.com/office/drawing/2014/chart" uri="{C3380CC4-5D6E-409C-BE32-E72D297353CC}">
              <c16:uniqueId val="{00000003-58B7-466B-991C-7DE2AD9BC673}"/>
            </c:ext>
          </c:extLst>
        </c:ser>
        <c:ser>
          <c:idx val="4"/>
          <c:order val="4"/>
          <c:tx>
            <c:strRef>
              <c:f>'Résultats sommaires'!$A$7</c:f>
              <c:strCache>
                <c:ptCount val="1"/>
                <c:pt idx="0">
                  <c:v>MG-SOYA-AVOINE</c:v>
                </c:pt>
              </c:strCache>
            </c:strRef>
          </c:tx>
          <c:spPr>
            <a:ln w="28575" cap="rnd">
              <a:solidFill>
                <a:schemeClr val="accent5"/>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sommaires'!$B$7:$D$7</c:f>
              <c:numCache>
                <c:formatCode>#\ ##0\ "$"</c:formatCode>
                <c:ptCount val="3"/>
                <c:pt idx="0">
                  <c:v>1329.9915066666667</c:v>
                </c:pt>
                <c:pt idx="1">
                  <c:v>1472.5871593333334</c:v>
                </c:pt>
                <c:pt idx="2">
                  <c:v>1615.1828120000002</c:v>
                </c:pt>
              </c:numCache>
            </c:numRef>
          </c:val>
          <c:smooth val="0"/>
          <c:extLst>
            <c:ext xmlns:c16="http://schemas.microsoft.com/office/drawing/2014/chart" uri="{C3380CC4-5D6E-409C-BE32-E72D297353CC}">
              <c16:uniqueId val="{00000004-58B7-466B-991C-7DE2AD9BC673}"/>
            </c:ext>
          </c:extLst>
        </c:ser>
        <c:ser>
          <c:idx val="5"/>
          <c:order val="5"/>
          <c:tx>
            <c:strRef>
              <c:f>'Résultats sommaires'!$A$8</c:f>
              <c:strCache>
                <c:ptCount val="1"/>
                <c:pt idx="0">
                  <c:v>MG-SOYA-SEIGLE</c:v>
                </c:pt>
              </c:strCache>
            </c:strRef>
          </c:tx>
          <c:spPr>
            <a:ln w="28575" cap="rnd">
              <a:solidFill>
                <a:schemeClr val="accent6"/>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sommaires'!$B$8:$D$8</c:f>
              <c:numCache>
                <c:formatCode>#\ ##0\ "$"</c:formatCode>
                <c:ptCount val="3"/>
                <c:pt idx="0">
                  <c:v>1438.7310399999999</c:v>
                </c:pt>
                <c:pt idx="1">
                  <c:v>1583.836636</c:v>
                </c:pt>
                <c:pt idx="2">
                  <c:v>1728.9422320000003</c:v>
                </c:pt>
              </c:numCache>
            </c:numRef>
          </c:val>
          <c:smooth val="0"/>
          <c:extLst>
            <c:ext xmlns:c16="http://schemas.microsoft.com/office/drawing/2014/chart" uri="{C3380CC4-5D6E-409C-BE32-E72D297353CC}">
              <c16:uniqueId val="{00000005-58B7-466B-991C-7DE2AD9BC673}"/>
            </c:ext>
          </c:extLst>
        </c:ser>
        <c:ser>
          <c:idx val="6"/>
          <c:order val="6"/>
          <c:tx>
            <c:strRef>
              <c:f>'Résultats sommaires'!$A$9</c:f>
              <c:strCache>
                <c:ptCount val="1"/>
                <c:pt idx="0">
                  <c:v>MG-SOYA-SEIGLE HYBRIDE D'AUTOMNE</c:v>
                </c:pt>
              </c:strCache>
            </c:strRef>
          </c:tx>
          <c:spPr>
            <a:ln w="28575" cap="rnd">
              <a:solidFill>
                <a:schemeClr val="accent1">
                  <a:lumMod val="60000"/>
                </a:schemeClr>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sommaires'!$B$9:$D$9</c:f>
              <c:numCache>
                <c:formatCode>#\ ##0\ "$"</c:formatCode>
                <c:ptCount val="3"/>
                <c:pt idx="0">
                  <c:v>1649.6840066666666</c:v>
                </c:pt>
                <c:pt idx="1">
                  <c:v>1806.3762693333335</c:v>
                </c:pt>
                <c:pt idx="2">
                  <c:v>1963.0685320000005</c:v>
                </c:pt>
              </c:numCache>
            </c:numRef>
          </c:val>
          <c:smooth val="0"/>
          <c:extLst>
            <c:ext xmlns:c16="http://schemas.microsoft.com/office/drawing/2014/chart" uri="{C3380CC4-5D6E-409C-BE32-E72D297353CC}">
              <c16:uniqueId val="{00000006-58B7-466B-991C-7DE2AD9BC673}"/>
            </c:ext>
          </c:extLst>
        </c:ser>
        <c:dLbls>
          <c:showLegendKey val="0"/>
          <c:showVal val="0"/>
          <c:showCatName val="0"/>
          <c:showSerName val="0"/>
          <c:showPercent val="0"/>
          <c:showBubbleSize val="0"/>
        </c:dLbls>
        <c:smooth val="0"/>
        <c:axId val="652523280"/>
        <c:axId val="652519344"/>
      </c:lineChart>
      <c:catAx>
        <c:axId val="652523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52519344"/>
        <c:crosses val="autoZero"/>
        <c:auto val="1"/>
        <c:lblAlgn val="ctr"/>
        <c:lblOffset val="100"/>
        <c:noMultiLvlLbl val="0"/>
      </c:catAx>
      <c:valAx>
        <c:axId val="652519344"/>
        <c:scaling>
          <c:orientation val="minMax"/>
          <c:max val="2500"/>
          <c:min val="10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52523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amortissement et rénumération du travail et de l'avoir,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sommaires'!$A$64</c:f>
              <c:strCache>
                <c:ptCount val="1"/>
                <c:pt idx="0">
                  <c:v>MG-SOYA</c:v>
                </c:pt>
              </c:strCache>
            </c:strRef>
          </c:tx>
          <c:spPr>
            <a:ln w="28575" cap="rnd">
              <a:solidFill>
                <a:schemeClr val="accent1"/>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sommaires'!$B$64:$D$64</c:f>
              <c:numCache>
                <c:formatCode>#\ ##0\ "$"</c:formatCode>
                <c:ptCount val="3"/>
                <c:pt idx="0">
                  <c:v>1147.8515100000004</c:v>
                </c:pt>
                <c:pt idx="1">
                  <c:v>1147.8515100000004</c:v>
                </c:pt>
                <c:pt idx="2">
                  <c:v>1147.8515100000004</c:v>
                </c:pt>
              </c:numCache>
            </c:numRef>
          </c:val>
          <c:smooth val="0"/>
          <c:extLst>
            <c:ext xmlns:c16="http://schemas.microsoft.com/office/drawing/2014/chart" uri="{C3380CC4-5D6E-409C-BE32-E72D297353CC}">
              <c16:uniqueId val="{00000000-002B-4A1F-89A9-C2C3036A5D1A}"/>
            </c:ext>
          </c:extLst>
        </c:ser>
        <c:ser>
          <c:idx val="1"/>
          <c:order val="1"/>
          <c:tx>
            <c:strRef>
              <c:f>'Résultats sommaires'!$A$65</c:f>
              <c:strCache>
                <c:ptCount val="1"/>
                <c:pt idx="0">
                  <c:v>MG-SOYA-BLÉ D'AUTOMNE PANIFIABLE</c:v>
                </c:pt>
              </c:strCache>
            </c:strRef>
          </c:tx>
          <c:spPr>
            <a:ln w="28575" cap="rnd">
              <a:solidFill>
                <a:schemeClr val="accent2"/>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sommaires'!$B$65:$D$65</c:f>
              <c:numCache>
                <c:formatCode>#\ ##0\ "$"</c:formatCode>
                <c:ptCount val="3"/>
                <c:pt idx="0">
                  <c:v>956.84337333333326</c:v>
                </c:pt>
                <c:pt idx="1">
                  <c:v>1114.7467359999998</c:v>
                </c:pt>
                <c:pt idx="2">
                  <c:v>1272.650098666667</c:v>
                </c:pt>
              </c:numCache>
            </c:numRef>
          </c:val>
          <c:smooth val="0"/>
          <c:extLst>
            <c:ext xmlns:c16="http://schemas.microsoft.com/office/drawing/2014/chart" uri="{C3380CC4-5D6E-409C-BE32-E72D297353CC}">
              <c16:uniqueId val="{00000001-002B-4A1F-89A9-C2C3036A5D1A}"/>
            </c:ext>
          </c:extLst>
        </c:ser>
        <c:ser>
          <c:idx val="2"/>
          <c:order val="2"/>
          <c:tx>
            <c:strRef>
              <c:f>'Résultats sommaires'!$A$66</c:f>
              <c:strCache>
                <c:ptCount val="1"/>
                <c:pt idx="0">
                  <c:v>MG-SOYA-BLÉ DE PRINTEMPS PANIFIABLE</c:v>
                </c:pt>
              </c:strCache>
            </c:strRef>
          </c:tx>
          <c:spPr>
            <a:ln w="28575" cap="rnd">
              <a:solidFill>
                <a:srgbClr val="7030A0"/>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sommaires'!$B$66:$D$66</c:f>
              <c:numCache>
                <c:formatCode>#\ ##0\ "$"</c:formatCode>
                <c:ptCount val="3"/>
                <c:pt idx="0">
                  <c:v>836.34047333333353</c:v>
                </c:pt>
                <c:pt idx="1">
                  <c:v>988.1444459999999</c:v>
                </c:pt>
                <c:pt idx="2">
                  <c:v>1139.9484186666671</c:v>
                </c:pt>
              </c:numCache>
            </c:numRef>
          </c:val>
          <c:smooth val="0"/>
          <c:extLst>
            <c:ext xmlns:c16="http://schemas.microsoft.com/office/drawing/2014/chart" uri="{C3380CC4-5D6E-409C-BE32-E72D297353CC}">
              <c16:uniqueId val="{00000002-002B-4A1F-89A9-C2C3036A5D1A}"/>
            </c:ext>
          </c:extLst>
        </c:ser>
        <c:ser>
          <c:idx val="3"/>
          <c:order val="3"/>
          <c:tx>
            <c:strRef>
              <c:f>'Résultats sommaires'!$A$67</c:f>
              <c:strCache>
                <c:ptCount val="1"/>
                <c:pt idx="0">
                  <c:v>MG-SOYA-ORGE</c:v>
                </c:pt>
              </c:strCache>
            </c:strRef>
          </c:tx>
          <c:spPr>
            <a:ln w="28575" cap="rnd">
              <a:solidFill>
                <a:schemeClr val="accent4"/>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sommaires'!$B$67:$D$67</c:f>
              <c:numCache>
                <c:formatCode>#\ ##0\ "$"</c:formatCode>
                <c:ptCount val="3"/>
                <c:pt idx="0">
                  <c:v>647.90314000000023</c:v>
                </c:pt>
                <c:pt idx="1">
                  <c:v>794.39235266666674</c:v>
                </c:pt>
                <c:pt idx="2">
                  <c:v>940.8815653333337</c:v>
                </c:pt>
              </c:numCache>
            </c:numRef>
          </c:val>
          <c:smooth val="0"/>
          <c:extLst>
            <c:ext xmlns:c16="http://schemas.microsoft.com/office/drawing/2014/chart" uri="{C3380CC4-5D6E-409C-BE32-E72D297353CC}">
              <c16:uniqueId val="{00000003-002B-4A1F-89A9-C2C3036A5D1A}"/>
            </c:ext>
          </c:extLst>
        </c:ser>
        <c:ser>
          <c:idx val="4"/>
          <c:order val="4"/>
          <c:tx>
            <c:strRef>
              <c:f>'Résultats sommaires'!$A$68</c:f>
              <c:strCache>
                <c:ptCount val="1"/>
                <c:pt idx="0">
                  <c:v>MG-SOYA-AVOINE</c:v>
                </c:pt>
              </c:strCache>
            </c:strRef>
          </c:tx>
          <c:spPr>
            <a:ln w="28575" cap="rnd">
              <a:solidFill>
                <a:schemeClr val="accent5"/>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sommaires'!$B$68:$D$68</c:f>
              <c:numCache>
                <c:formatCode>#\ ##0\ "$"</c:formatCode>
                <c:ptCount val="3"/>
                <c:pt idx="0">
                  <c:v>657.36484000000019</c:v>
                </c:pt>
                <c:pt idx="1">
                  <c:v>799.96049266666671</c:v>
                </c:pt>
                <c:pt idx="2">
                  <c:v>942.5561453333338</c:v>
                </c:pt>
              </c:numCache>
            </c:numRef>
          </c:val>
          <c:smooth val="0"/>
          <c:extLst>
            <c:ext xmlns:c16="http://schemas.microsoft.com/office/drawing/2014/chart" uri="{C3380CC4-5D6E-409C-BE32-E72D297353CC}">
              <c16:uniqueId val="{00000004-002B-4A1F-89A9-C2C3036A5D1A}"/>
            </c:ext>
          </c:extLst>
        </c:ser>
        <c:ser>
          <c:idx val="5"/>
          <c:order val="5"/>
          <c:tx>
            <c:strRef>
              <c:f>'Résultats sommaires'!$A$69</c:f>
              <c:strCache>
                <c:ptCount val="1"/>
                <c:pt idx="0">
                  <c:v>MG-SOYA-SEIGLE</c:v>
                </c:pt>
              </c:strCache>
            </c:strRef>
          </c:tx>
          <c:spPr>
            <a:ln w="28575" cap="rnd">
              <a:solidFill>
                <a:schemeClr val="accent6"/>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sommaires'!$B$69:$D$69</c:f>
              <c:numCache>
                <c:formatCode>#\ ##0\ "$"</c:formatCode>
                <c:ptCount val="3"/>
                <c:pt idx="0">
                  <c:v>800.93104000000005</c:v>
                </c:pt>
                <c:pt idx="1">
                  <c:v>946.03663600000016</c:v>
                </c:pt>
                <c:pt idx="2">
                  <c:v>1091.1422320000004</c:v>
                </c:pt>
              </c:numCache>
            </c:numRef>
          </c:val>
          <c:smooth val="0"/>
          <c:extLst>
            <c:ext xmlns:c16="http://schemas.microsoft.com/office/drawing/2014/chart" uri="{C3380CC4-5D6E-409C-BE32-E72D297353CC}">
              <c16:uniqueId val="{00000005-002B-4A1F-89A9-C2C3036A5D1A}"/>
            </c:ext>
          </c:extLst>
        </c:ser>
        <c:ser>
          <c:idx val="6"/>
          <c:order val="6"/>
          <c:tx>
            <c:strRef>
              <c:f>'Résultats sommaires'!$A$70</c:f>
              <c:strCache>
                <c:ptCount val="1"/>
                <c:pt idx="0">
                  <c:v>MG-SOYA-SEIGLE HYBRIDE D'AUTOMNE</c:v>
                </c:pt>
              </c:strCache>
            </c:strRef>
          </c:tx>
          <c:spPr>
            <a:ln w="28575" cap="rnd">
              <a:solidFill>
                <a:schemeClr val="accent1">
                  <a:lumMod val="60000"/>
                </a:schemeClr>
              </a:solidFill>
              <a:round/>
            </a:ln>
            <a:effectLst/>
          </c:spPr>
          <c:marker>
            <c:symbol val="none"/>
          </c:marker>
          <c:cat>
            <c:strRef>
              <c:f>'Résultats sommaires'!$B$63:$D$63</c:f>
              <c:strCache>
                <c:ptCount val="3"/>
                <c:pt idx="0">
                  <c:v>Moyenne annuelle 
Cycle 1</c:v>
                </c:pt>
                <c:pt idx="1">
                  <c:v>Moyenne annuelle 
Cycle 2</c:v>
                </c:pt>
                <c:pt idx="2">
                  <c:v>Moyenne annuelle 
Cycle 3</c:v>
                </c:pt>
              </c:strCache>
            </c:strRef>
          </c:cat>
          <c:val>
            <c:numRef>
              <c:f>'Résultats sommaires'!$B$70:$D$70</c:f>
              <c:numCache>
                <c:formatCode>#\ ##0\ "$"</c:formatCode>
                <c:ptCount val="3"/>
                <c:pt idx="0">
                  <c:v>1011.8840066666668</c:v>
                </c:pt>
                <c:pt idx="1">
                  <c:v>1168.5762693333334</c:v>
                </c:pt>
                <c:pt idx="2">
                  <c:v>1325.2685320000005</c:v>
                </c:pt>
              </c:numCache>
            </c:numRef>
          </c:val>
          <c:smooth val="0"/>
          <c:extLst>
            <c:ext xmlns:c16="http://schemas.microsoft.com/office/drawing/2014/chart" uri="{C3380CC4-5D6E-409C-BE32-E72D297353CC}">
              <c16:uniqueId val="{00000006-002B-4A1F-89A9-C2C3036A5D1A}"/>
            </c:ext>
          </c:extLst>
        </c:ser>
        <c:dLbls>
          <c:showLegendKey val="0"/>
          <c:showVal val="0"/>
          <c:showCatName val="0"/>
          <c:showSerName val="0"/>
          <c:showPercent val="0"/>
          <c:showBubbleSize val="0"/>
        </c:dLbls>
        <c:smooth val="0"/>
        <c:axId val="662078680"/>
        <c:axId val="662082288"/>
      </c:lineChart>
      <c:catAx>
        <c:axId val="6620786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62082288"/>
        <c:crosses val="autoZero"/>
        <c:auto val="1"/>
        <c:lblAlgn val="ctr"/>
        <c:lblOffset val="100"/>
        <c:noMultiLvlLbl val="0"/>
      </c:catAx>
      <c:valAx>
        <c:axId val="662082288"/>
        <c:scaling>
          <c:orientation val="minMax"/>
          <c:max val="1500"/>
          <c:min val="25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620786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r>
              <a:rPr lang="en-CA"/>
              <a:t>Marge bénéficiaire après frais monétaires,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endParaRPr lang="fr-FR"/>
        </a:p>
      </c:txPr>
    </c:title>
    <c:autoTitleDeleted val="0"/>
    <c:plotArea>
      <c:layout/>
      <c:lineChart>
        <c:grouping val="standard"/>
        <c:varyColors val="0"/>
        <c:ser>
          <c:idx val="0"/>
          <c:order val="0"/>
          <c:tx>
            <c:strRef>
              <c:f>'Résultats sommaires'!$A$32</c:f>
              <c:strCache>
                <c:ptCount val="1"/>
                <c:pt idx="0">
                  <c:v>MG-SOYA</c:v>
                </c:pt>
              </c:strCache>
            </c:strRef>
          </c:tx>
          <c:spPr>
            <a:ln w="28575" cap="rnd">
              <a:solidFill>
                <a:schemeClr val="accent1"/>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sommaires'!$B$32:$D$32</c:f>
              <c:numCache>
                <c:formatCode>#\ ##0\ "$"</c:formatCode>
                <c:ptCount val="3"/>
                <c:pt idx="0">
                  <c:v>1665.3515100000004</c:v>
                </c:pt>
                <c:pt idx="1">
                  <c:v>1665.3515100000004</c:v>
                </c:pt>
                <c:pt idx="2">
                  <c:v>1665.3515100000004</c:v>
                </c:pt>
              </c:numCache>
            </c:numRef>
          </c:val>
          <c:smooth val="0"/>
          <c:extLst>
            <c:ext xmlns:c16="http://schemas.microsoft.com/office/drawing/2014/chart" uri="{C3380CC4-5D6E-409C-BE32-E72D297353CC}">
              <c16:uniqueId val="{00000000-10B4-42A1-AF0B-D8875FF49D0C}"/>
            </c:ext>
          </c:extLst>
        </c:ser>
        <c:ser>
          <c:idx val="1"/>
          <c:order val="1"/>
          <c:tx>
            <c:strRef>
              <c:f>'Résultats sommaires'!$A$33</c:f>
              <c:strCache>
                <c:ptCount val="1"/>
                <c:pt idx="0">
                  <c:v>MG-SOYA-BLÉ D'AUTOMNE PANIFIABLE</c:v>
                </c:pt>
              </c:strCache>
            </c:strRef>
          </c:tx>
          <c:spPr>
            <a:ln w="28575" cap="rnd">
              <a:solidFill>
                <a:schemeClr val="accent2"/>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sommaires'!$B$33:$D$33</c:f>
              <c:numCache>
                <c:formatCode>#\ ##0\ "$"</c:formatCode>
                <c:ptCount val="3"/>
                <c:pt idx="0">
                  <c:v>1399.43004</c:v>
                </c:pt>
                <c:pt idx="1">
                  <c:v>1557.3334026666664</c:v>
                </c:pt>
                <c:pt idx="2">
                  <c:v>1715.2367653333338</c:v>
                </c:pt>
              </c:numCache>
            </c:numRef>
          </c:val>
          <c:smooth val="0"/>
          <c:extLst>
            <c:ext xmlns:c16="http://schemas.microsoft.com/office/drawing/2014/chart" uri="{C3380CC4-5D6E-409C-BE32-E72D297353CC}">
              <c16:uniqueId val="{00000001-10B4-42A1-AF0B-D8875FF49D0C}"/>
            </c:ext>
          </c:extLst>
        </c:ser>
        <c:ser>
          <c:idx val="2"/>
          <c:order val="2"/>
          <c:tx>
            <c:strRef>
              <c:f>'Résultats sommaires'!$A$34</c:f>
              <c:strCache>
                <c:ptCount val="1"/>
                <c:pt idx="0">
                  <c:v>MG-SOYA-BLÉ DE PRINTEMPS PANIFIABLE</c:v>
                </c:pt>
              </c:strCache>
            </c:strRef>
          </c:tx>
          <c:spPr>
            <a:ln w="28575" cap="rnd">
              <a:solidFill>
                <a:srgbClr val="7030A0"/>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sommaires'!$B$34:$D$34</c:f>
              <c:numCache>
                <c:formatCode>#\ ##0\ "$"</c:formatCode>
                <c:ptCount val="3"/>
                <c:pt idx="0">
                  <c:v>1278.92714</c:v>
                </c:pt>
                <c:pt idx="1">
                  <c:v>1430.7311126666666</c:v>
                </c:pt>
                <c:pt idx="2">
                  <c:v>1582.5350853333339</c:v>
                </c:pt>
              </c:numCache>
            </c:numRef>
          </c:val>
          <c:smooth val="0"/>
          <c:extLst>
            <c:ext xmlns:c16="http://schemas.microsoft.com/office/drawing/2014/chart" uri="{C3380CC4-5D6E-409C-BE32-E72D297353CC}">
              <c16:uniqueId val="{00000002-10B4-42A1-AF0B-D8875FF49D0C}"/>
            </c:ext>
          </c:extLst>
        </c:ser>
        <c:ser>
          <c:idx val="3"/>
          <c:order val="3"/>
          <c:tx>
            <c:strRef>
              <c:f>'Résultats sommaires'!$A$35</c:f>
              <c:strCache>
                <c:ptCount val="1"/>
                <c:pt idx="0">
                  <c:v>MG-SOYA-ORGE</c:v>
                </c:pt>
              </c:strCache>
            </c:strRef>
          </c:tx>
          <c:spPr>
            <a:ln w="28575" cap="rnd">
              <a:solidFill>
                <a:schemeClr val="accent4"/>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sommaires'!$B$35:$D$35</c:f>
              <c:numCache>
                <c:formatCode>#\ ##0\ "$"</c:formatCode>
                <c:ptCount val="3"/>
                <c:pt idx="0">
                  <c:v>1150.2598066666669</c:v>
                </c:pt>
                <c:pt idx="1">
                  <c:v>1296.7490193333333</c:v>
                </c:pt>
                <c:pt idx="2">
                  <c:v>1443.2382320000004</c:v>
                </c:pt>
              </c:numCache>
            </c:numRef>
          </c:val>
          <c:smooth val="0"/>
          <c:extLst>
            <c:ext xmlns:c16="http://schemas.microsoft.com/office/drawing/2014/chart" uri="{C3380CC4-5D6E-409C-BE32-E72D297353CC}">
              <c16:uniqueId val="{00000003-10B4-42A1-AF0B-D8875FF49D0C}"/>
            </c:ext>
          </c:extLst>
        </c:ser>
        <c:ser>
          <c:idx val="4"/>
          <c:order val="4"/>
          <c:tx>
            <c:strRef>
              <c:f>'Résultats sommaires'!$A$36</c:f>
              <c:strCache>
                <c:ptCount val="1"/>
                <c:pt idx="0">
                  <c:v>MG-SOYA-AVOINE</c:v>
                </c:pt>
              </c:strCache>
            </c:strRef>
          </c:tx>
          <c:spPr>
            <a:ln w="28575" cap="rnd">
              <a:solidFill>
                <a:schemeClr val="accent5"/>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sommaires'!$B$36:$D$36</c:f>
              <c:numCache>
                <c:formatCode>#\ ##0\ "$"</c:formatCode>
                <c:ptCount val="3"/>
                <c:pt idx="0">
                  <c:v>1130.0848400000002</c:v>
                </c:pt>
                <c:pt idx="1">
                  <c:v>1272.6804926666666</c:v>
                </c:pt>
                <c:pt idx="2">
                  <c:v>1415.2761453333339</c:v>
                </c:pt>
              </c:numCache>
            </c:numRef>
          </c:val>
          <c:smooth val="0"/>
          <c:extLst>
            <c:ext xmlns:c16="http://schemas.microsoft.com/office/drawing/2014/chart" uri="{C3380CC4-5D6E-409C-BE32-E72D297353CC}">
              <c16:uniqueId val="{00000004-10B4-42A1-AF0B-D8875FF49D0C}"/>
            </c:ext>
          </c:extLst>
        </c:ser>
        <c:ser>
          <c:idx val="5"/>
          <c:order val="5"/>
          <c:tx>
            <c:strRef>
              <c:f>'Résultats sommaires'!$A$37</c:f>
              <c:strCache>
                <c:ptCount val="1"/>
                <c:pt idx="0">
                  <c:v>MG-SOYA-SEIGLE</c:v>
                </c:pt>
              </c:strCache>
            </c:strRef>
          </c:tx>
          <c:spPr>
            <a:ln w="28575" cap="rnd">
              <a:solidFill>
                <a:schemeClr val="accent6"/>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sommaires'!$B$37:$D$37</c:f>
              <c:numCache>
                <c:formatCode>#\ ##0\ "$"</c:formatCode>
                <c:ptCount val="3"/>
                <c:pt idx="0">
                  <c:v>1270.6477066666669</c:v>
                </c:pt>
                <c:pt idx="1">
                  <c:v>1415.7533026666667</c:v>
                </c:pt>
                <c:pt idx="2">
                  <c:v>1560.8588986666673</c:v>
                </c:pt>
              </c:numCache>
            </c:numRef>
          </c:val>
          <c:smooth val="0"/>
          <c:extLst>
            <c:ext xmlns:c16="http://schemas.microsoft.com/office/drawing/2014/chart" uri="{C3380CC4-5D6E-409C-BE32-E72D297353CC}">
              <c16:uniqueId val="{00000005-10B4-42A1-AF0B-D8875FF49D0C}"/>
            </c:ext>
          </c:extLst>
        </c:ser>
        <c:ser>
          <c:idx val="6"/>
          <c:order val="6"/>
          <c:tx>
            <c:strRef>
              <c:f>'Résultats sommaires'!$A$38</c:f>
              <c:strCache>
                <c:ptCount val="1"/>
                <c:pt idx="0">
                  <c:v>MG-SOYA-SEIGLE HYBRIDE D'AUTOMNE</c:v>
                </c:pt>
              </c:strCache>
            </c:strRef>
          </c:tx>
          <c:spPr>
            <a:ln w="28575" cap="rnd">
              <a:solidFill>
                <a:schemeClr val="accent1">
                  <a:lumMod val="60000"/>
                </a:schemeClr>
              </a:solidFill>
              <a:round/>
            </a:ln>
            <a:effectLst/>
          </c:spPr>
          <c:marker>
            <c:symbol val="none"/>
          </c:marker>
          <c:cat>
            <c:strRef>
              <c:f>'Résultats sommaires'!$B$31:$D$31</c:f>
              <c:strCache>
                <c:ptCount val="3"/>
                <c:pt idx="0">
                  <c:v>Moyenne annuelle 
Cycle 1</c:v>
                </c:pt>
                <c:pt idx="1">
                  <c:v>Moyenne annuelle 
Cycle 2</c:v>
                </c:pt>
                <c:pt idx="2">
                  <c:v>Moyenne annuelle 
Cycle 3</c:v>
                </c:pt>
              </c:strCache>
            </c:strRef>
          </c:cat>
          <c:val>
            <c:numRef>
              <c:f>'Résultats sommaires'!$B$38:$D$38</c:f>
              <c:numCache>
                <c:formatCode>#\ ##0\ "$"</c:formatCode>
                <c:ptCount val="3"/>
                <c:pt idx="0">
                  <c:v>1481.6006733333336</c:v>
                </c:pt>
                <c:pt idx="1">
                  <c:v>1638.2929360000001</c:v>
                </c:pt>
                <c:pt idx="2">
                  <c:v>1794.9851986666672</c:v>
                </c:pt>
              </c:numCache>
            </c:numRef>
          </c:val>
          <c:smooth val="0"/>
          <c:extLst>
            <c:ext xmlns:c16="http://schemas.microsoft.com/office/drawing/2014/chart" uri="{C3380CC4-5D6E-409C-BE32-E72D297353CC}">
              <c16:uniqueId val="{00000006-10B4-42A1-AF0B-D8875FF49D0C}"/>
            </c:ext>
          </c:extLst>
        </c:ser>
        <c:dLbls>
          <c:showLegendKey val="0"/>
          <c:showVal val="0"/>
          <c:showCatName val="0"/>
          <c:showSerName val="0"/>
          <c:showPercent val="0"/>
          <c:showBubbleSize val="0"/>
        </c:dLbls>
        <c:smooth val="0"/>
        <c:axId val="658546960"/>
        <c:axId val="658538432"/>
      </c:lineChart>
      <c:catAx>
        <c:axId val="658546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658538432"/>
        <c:crosses val="autoZero"/>
        <c:auto val="1"/>
        <c:lblAlgn val="ctr"/>
        <c:lblOffset val="100"/>
        <c:noMultiLvlLbl val="0"/>
      </c:catAx>
      <c:valAx>
        <c:axId val="658538432"/>
        <c:scaling>
          <c:orientation val="minMax"/>
          <c:max val="2250"/>
          <c:min val="5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6585469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tx1"/>
      </a:solidFill>
      <a:round/>
    </a:ln>
    <a:effectLst/>
  </c:spPr>
  <c:txPr>
    <a:bodyPr/>
    <a:lstStyle/>
    <a:p>
      <a:pPr>
        <a:defRPr sz="1100" b="1">
          <a:solidFill>
            <a:sysClr val="windowText" lastClr="000000"/>
          </a:solidFill>
          <a:latin typeface="Arial Narrow" panose="020B0606020202030204" pitchFamily="34" charset="0"/>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variables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sommaires'!$Q$3</c:f>
              <c:strCache>
                <c:ptCount val="1"/>
                <c:pt idx="0">
                  <c:v>MG-SOYA</c:v>
                </c:pt>
              </c:strCache>
            </c:strRef>
          </c:tx>
          <c:spPr>
            <a:ln w="28575" cap="rnd">
              <a:solidFill>
                <a:schemeClr val="accent1"/>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sommaires'!$R$3:$T$3</c:f>
              <c:numCache>
                <c:formatCode>#\ ##0\ "$"</c:formatCode>
                <c:ptCount val="3"/>
                <c:pt idx="0">
                  <c:v>1880.3265100000003</c:v>
                </c:pt>
                <c:pt idx="1">
                  <c:v>1880.3265100000003</c:v>
                </c:pt>
                <c:pt idx="2">
                  <c:v>1880.3265100000003</c:v>
                </c:pt>
              </c:numCache>
            </c:numRef>
          </c:val>
          <c:smooth val="0"/>
          <c:extLst>
            <c:ext xmlns:c16="http://schemas.microsoft.com/office/drawing/2014/chart" uri="{C3380CC4-5D6E-409C-BE32-E72D297353CC}">
              <c16:uniqueId val="{00000000-EC99-4D6C-AD2F-406051C0EB27}"/>
            </c:ext>
          </c:extLst>
        </c:ser>
        <c:ser>
          <c:idx val="1"/>
          <c:order val="1"/>
          <c:tx>
            <c:strRef>
              <c:f>'Résultats sommaires'!$Q$4</c:f>
              <c:strCache>
                <c:ptCount val="1"/>
                <c:pt idx="0">
                  <c:v>MG-SOYA-BLÉ D'AUTOMNE PANIFIABLE</c:v>
                </c:pt>
              </c:strCache>
            </c:strRef>
          </c:tx>
          <c:spPr>
            <a:ln w="28575" cap="rnd">
              <a:solidFill>
                <a:schemeClr val="accent2"/>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sommaires'!$R$4:$T$4</c:f>
              <c:numCache>
                <c:formatCode>#\ ##0\ "$"</c:formatCode>
                <c:ptCount val="3"/>
                <c:pt idx="0">
                  <c:v>1584.9633733333333</c:v>
                </c:pt>
                <c:pt idx="1">
                  <c:v>1742.8667359999999</c:v>
                </c:pt>
                <c:pt idx="2">
                  <c:v>1900.7700986666671</c:v>
                </c:pt>
              </c:numCache>
            </c:numRef>
          </c:val>
          <c:smooth val="0"/>
          <c:extLst>
            <c:ext xmlns:c16="http://schemas.microsoft.com/office/drawing/2014/chart" uri="{C3380CC4-5D6E-409C-BE32-E72D297353CC}">
              <c16:uniqueId val="{00000001-EC99-4D6C-AD2F-406051C0EB27}"/>
            </c:ext>
          </c:extLst>
        </c:ser>
        <c:ser>
          <c:idx val="2"/>
          <c:order val="2"/>
          <c:tx>
            <c:strRef>
              <c:f>'Résultats sommaires'!$Q$5</c:f>
              <c:strCache>
                <c:ptCount val="1"/>
                <c:pt idx="0">
                  <c:v>MG-SOYA-BLÉ DE PRINTEMPS PANIFIABLE</c:v>
                </c:pt>
              </c:strCache>
            </c:strRef>
          </c:tx>
          <c:spPr>
            <a:ln w="28575" cap="rnd">
              <a:solidFill>
                <a:srgbClr val="7030A0"/>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sommaires'!$R$5:$T$5</c:f>
              <c:numCache>
                <c:formatCode>#\ ##0\ "$"</c:formatCode>
                <c:ptCount val="3"/>
                <c:pt idx="0">
                  <c:v>1464.4604733333335</c:v>
                </c:pt>
                <c:pt idx="1">
                  <c:v>1616.2644459999999</c:v>
                </c:pt>
                <c:pt idx="2">
                  <c:v>1768.068418666667</c:v>
                </c:pt>
              </c:numCache>
            </c:numRef>
          </c:val>
          <c:smooth val="0"/>
          <c:extLst>
            <c:ext xmlns:c16="http://schemas.microsoft.com/office/drawing/2014/chart" uri="{C3380CC4-5D6E-409C-BE32-E72D297353CC}">
              <c16:uniqueId val="{00000002-EC99-4D6C-AD2F-406051C0EB27}"/>
            </c:ext>
          </c:extLst>
        </c:ser>
        <c:ser>
          <c:idx val="3"/>
          <c:order val="3"/>
          <c:tx>
            <c:strRef>
              <c:f>'Résultats sommaires'!$Q$6</c:f>
              <c:strCache>
                <c:ptCount val="1"/>
                <c:pt idx="0">
                  <c:v>MG-SOYA-ORGE</c:v>
                </c:pt>
              </c:strCache>
            </c:strRef>
          </c:tx>
          <c:spPr>
            <a:ln w="28575" cap="rnd">
              <a:solidFill>
                <a:schemeClr val="accent4"/>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sommaires'!$R$6:$T$6</c:f>
              <c:numCache>
                <c:formatCode>#\ ##0\ "$"</c:formatCode>
                <c:ptCount val="3"/>
                <c:pt idx="0">
                  <c:v>1353.2831400000002</c:v>
                </c:pt>
                <c:pt idx="1">
                  <c:v>1499.7723526666666</c:v>
                </c:pt>
                <c:pt idx="2">
                  <c:v>1646.2615653333335</c:v>
                </c:pt>
              </c:numCache>
            </c:numRef>
          </c:val>
          <c:smooth val="0"/>
          <c:extLst>
            <c:ext xmlns:c16="http://schemas.microsoft.com/office/drawing/2014/chart" uri="{C3380CC4-5D6E-409C-BE32-E72D297353CC}">
              <c16:uniqueId val="{00000003-EC99-4D6C-AD2F-406051C0EB27}"/>
            </c:ext>
          </c:extLst>
        </c:ser>
        <c:ser>
          <c:idx val="4"/>
          <c:order val="4"/>
          <c:tx>
            <c:strRef>
              <c:f>'Résultats sommaires'!$Q$7</c:f>
              <c:strCache>
                <c:ptCount val="1"/>
                <c:pt idx="0">
                  <c:v>MG-SOYA-AVOINE</c:v>
                </c:pt>
              </c:strCache>
            </c:strRef>
          </c:tx>
          <c:spPr>
            <a:ln w="28575" cap="rnd">
              <a:solidFill>
                <a:schemeClr val="accent5"/>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sommaires'!$R$7:$T$7</c:f>
              <c:numCache>
                <c:formatCode>#\ ##0\ "$"</c:formatCode>
                <c:ptCount val="3"/>
                <c:pt idx="0">
                  <c:v>1329.9915066666667</c:v>
                </c:pt>
                <c:pt idx="1">
                  <c:v>1472.5871593333334</c:v>
                </c:pt>
                <c:pt idx="2">
                  <c:v>1615.1828120000002</c:v>
                </c:pt>
              </c:numCache>
            </c:numRef>
          </c:val>
          <c:smooth val="0"/>
          <c:extLst>
            <c:ext xmlns:c16="http://schemas.microsoft.com/office/drawing/2014/chart" uri="{C3380CC4-5D6E-409C-BE32-E72D297353CC}">
              <c16:uniqueId val="{00000004-EC99-4D6C-AD2F-406051C0EB27}"/>
            </c:ext>
          </c:extLst>
        </c:ser>
        <c:ser>
          <c:idx val="5"/>
          <c:order val="5"/>
          <c:tx>
            <c:strRef>
              <c:f>'Résultats sommaires'!$Q$8</c:f>
              <c:strCache>
                <c:ptCount val="1"/>
                <c:pt idx="0">
                  <c:v>MG-SOYA-SEIGLE</c:v>
                </c:pt>
              </c:strCache>
            </c:strRef>
          </c:tx>
          <c:spPr>
            <a:ln w="28575" cap="rnd">
              <a:solidFill>
                <a:schemeClr val="accent6"/>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sommaires'!$R$8:$T$8</c:f>
              <c:numCache>
                <c:formatCode>#\ ##0\ "$"</c:formatCode>
                <c:ptCount val="3"/>
                <c:pt idx="0">
                  <c:v>1438.7310399999999</c:v>
                </c:pt>
                <c:pt idx="1">
                  <c:v>1583.836636</c:v>
                </c:pt>
                <c:pt idx="2">
                  <c:v>1728.9422320000003</c:v>
                </c:pt>
              </c:numCache>
            </c:numRef>
          </c:val>
          <c:smooth val="0"/>
          <c:extLst>
            <c:ext xmlns:c16="http://schemas.microsoft.com/office/drawing/2014/chart" uri="{C3380CC4-5D6E-409C-BE32-E72D297353CC}">
              <c16:uniqueId val="{00000005-EC99-4D6C-AD2F-406051C0EB27}"/>
            </c:ext>
          </c:extLst>
        </c:ser>
        <c:ser>
          <c:idx val="6"/>
          <c:order val="6"/>
          <c:tx>
            <c:strRef>
              <c:f>'Résultats sommaires'!$Q$9</c:f>
              <c:strCache>
                <c:ptCount val="1"/>
                <c:pt idx="0">
                  <c:v>MG-SOYA-SEIGLE HYBRIDE D'AUTOMNE</c:v>
                </c:pt>
              </c:strCache>
            </c:strRef>
          </c:tx>
          <c:spPr>
            <a:ln w="28575" cap="rnd">
              <a:solidFill>
                <a:schemeClr val="accent1">
                  <a:lumMod val="60000"/>
                </a:schemeClr>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sommaires'!$R$9:$T$9</c:f>
              <c:numCache>
                <c:formatCode>#\ ##0\ "$"</c:formatCode>
                <c:ptCount val="3"/>
                <c:pt idx="0">
                  <c:v>1649.6840066666666</c:v>
                </c:pt>
                <c:pt idx="1">
                  <c:v>1806.3762693333335</c:v>
                </c:pt>
                <c:pt idx="2">
                  <c:v>1963.0685320000005</c:v>
                </c:pt>
              </c:numCache>
            </c:numRef>
          </c:val>
          <c:smooth val="0"/>
          <c:extLst>
            <c:ext xmlns:c16="http://schemas.microsoft.com/office/drawing/2014/chart" uri="{C3380CC4-5D6E-409C-BE32-E72D297353CC}">
              <c16:uniqueId val="{00000006-EC99-4D6C-AD2F-406051C0EB27}"/>
            </c:ext>
          </c:extLst>
        </c:ser>
        <c:dLbls>
          <c:showLegendKey val="0"/>
          <c:showVal val="0"/>
          <c:showCatName val="0"/>
          <c:showSerName val="0"/>
          <c:showPercent val="0"/>
          <c:showBubbleSize val="0"/>
        </c:dLbls>
        <c:smooth val="0"/>
        <c:axId val="242044256"/>
        <c:axId val="242042616"/>
      </c:lineChart>
      <c:catAx>
        <c:axId val="242044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242042616"/>
        <c:crosses val="autoZero"/>
        <c:auto val="1"/>
        <c:lblAlgn val="ctr"/>
        <c:lblOffset val="100"/>
        <c:noMultiLvlLbl val="0"/>
      </c:catAx>
      <c:valAx>
        <c:axId val="242042616"/>
        <c:scaling>
          <c:orientation val="minMax"/>
          <c:max val="2500"/>
          <c:min val="10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242044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monétaires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sommaires'!$Q$32</c:f>
              <c:strCache>
                <c:ptCount val="1"/>
                <c:pt idx="0">
                  <c:v>MG-SOYA</c:v>
                </c:pt>
              </c:strCache>
            </c:strRef>
          </c:tx>
          <c:spPr>
            <a:ln w="28575" cap="rnd">
              <a:solidFill>
                <a:schemeClr val="accent1"/>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sommaires'!$R$32:$T$32</c:f>
              <c:numCache>
                <c:formatCode>#\ ##0\ "$"</c:formatCode>
                <c:ptCount val="3"/>
                <c:pt idx="0">
                  <c:v>1665.3515100000004</c:v>
                </c:pt>
                <c:pt idx="1">
                  <c:v>1665.3515100000004</c:v>
                </c:pt>
                <c:pt idx="2">
                  <c:v>1665.3515100000004</c:v>
                </c:pt>
              </c:numCache>
            </c:numRef>
          </c:val>
          <c:smooth val="0"/>
          <c:extLst>
            <c:ext xmlns:c16="http://schemas.microsoft.com/office/drawing/2014/chart" uri="{C3380CC4-5D6E-409C-BE32-E72D297353CC}">
              <c16:uniqueId val="{00000000-6BA3-4137-AF93-6D0ED79CEB7D}"/>
            </c:ext>
          </c:extLst>
        </c:ser>
        <c:ser>
          <c:idx val="1"/>
          <c:order val="1"/>
          <c:tx>
            <c:strRef>
              <c:f>'Résultats sommaires'!$Q$33</c:f>
              <c:strCache>
                <c:ptCount val="1"/>
                <c:pt idx="0">
                  <c:v>MG-SOYA-BLÉ D'AUTOMNE PANIFIABLE</c:v>
                </c:pt>
              </c:strCache>
            </c:strRef>
          </c:tx>
          <c:spPr>
            <a:ln w="28575" cap="rnd">
              <a:solidFill>
                <a:schemeClr val="accent2"/>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sommaires'!$R$33:$T$33</c:f>
              <c:numCache>
                <c:formatCode>#\ ##0\ "$"</c:formatCode>
                <c:ptCount val="3"/>
                <c:pt idx="0">
                  <c:v>1399.43004</c:v>
                </c:pt>
                <c:pt idx="1">
                  <c:v>1557.3334026666664</c:v>
                </c:pt>
                <c:pt idx="2">
                  <c:v>1715.2367653333338</c:v>
                </c:pt>
              </c:numCache>
            </c:numRef>
          </c:val>
          <c:smooth val="0"/>
          <c:extLst>
            <c:ext xmlns:c16="http://schemas.microsoft.com/office/drawing/2014/chart" uri="{C3380CC4-5D6E-409C-BE32-E72D297353CC}">
              <c16:uniqueId val="{00000001-6BA3-4137-AF93-6D0ED79CEB7D}"/>
            </c:ext>
          </c:extLst>
        </c:ser>
        <c:ser>
          <c:idx val="2"/>
          <c:order val="2"/>
          <c:tx>
            <c:strRef>
              <c:f>'Résultats sommaires'!$Q$34</c:f>
              <c:strCache>
                <c:ptCount val="1"/>
                <c:pt idx="0">
                  <c:v>MG-SOYA-BLÉ DE PRINTEMPS PANIFIABLE</c:v>
                </c:pt>
              </c:strCache>
            </c:strRef>
          </c:tx>
          <c:spPr>
            <a:ln w="28575" cap="rnd">
              <a:solidFill>
                <a:srgbClr val="7030A0"/>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sommaires'!$R$34:$T$34</c:f>
              <c:numCache>
                <c:formatCode>#\ ##0\ "$"</c:formatCode>
                <c:ptCount val="3"/>
                <c:pt idx="0">
                  <c:v>1278.92714</c:v>
                </c:pt>
                <c:pt idx="1">
                  <c:v>1430.7311126666666</c:v>
                </c:pt>
                <c:pt idx="2">
                  <c:v>1582.5350853333339</c:v>
                </c:pt>
              </c:numCache>
            </c:numRef>
          </c:val>
          <c:smooth val="0"/>
          <c:extLst>
            <c:ext xmlns:c16="http://schemas.microsoft.com/office/drawing/2014/chart" uri="{C3380CC4-5D6E-409C-BE32-E72D297353CC}">
              <c16:uniqueId val="{00000002-6BA3-4137-AF93-6D0ED79CEB7D}"/>
            </c:ext>
          </c:extLst>
        </c:ser>
        <c:ser>
          <c:idx val="3"/>
          <c:order val="3"/>
          <c:tx>
            <c:strRef>
              <c:f>'Résultats sommaires'!$Q$35</c:f>
              <c:strCache>
                <c:ptCount val="1"/>
                <c:pt idx="0">
                  <c:v>MG-SOYA-ORGE</c:v>
                </c:pt>
              </c:strCache>
            </c:strRef>
          </c:tx>
          <c:spPr>
            <a:ln w="28575" cap="rnd">
              <a:solidFill>
                <a:schemeClr val="accent4"/>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sommaires'!$R$35:$T$35</c:f>
              <c:numCache>
                <c:formatCode>#\ ##0\ "$"</c:formatCode>
                <c:ptCount val="3"/>
                <c:pt idx="0">
                  <c:v>1150.2598066666669</c:v>
                </c:pt>
                <c:pt idx="1">
                  <c:v>1296.7490193333333</c:v>
                </c:pt>
                <c:pt idx="2">
                  <c:v>1443.2382320000004</c:v>
                </c:pt>
              </c:numCache>
            </c:numRef>
          </c:val>
          <c:smooth val="0"/>
          <c:extLst>
            <c:ext xmlns:c16="http://schemas.microsoft.com/office/drawing/2014/chart" uri="{C3380CC4-5D6E-409C-BE32-E72D297353CC}">
              <c16:uniqueId val="{00000003-6BA3-4137-AF93-6D0ED79CEB7D}"/>
            </c:ext>
          </c:extLst>
        </c:ser>
        <c:ser>
          <c:idx val="4"/>
          <c:order val="4"/>
          <c:tx>
            <c:strRef>
              <c:f>'Résultats sommaires'!$Q$36</c:f>
              <c:strCache>
                <c:ptCount val="1"/>
                <c:pt idx="0">
                  <c:v>MG-SOYA-AVOINE</c:v>
                </c:pt>
              </c:strCache>
            </c:strRef>
          </c:tx>
          <c:spPr>
            <a:ln w="28575" cap="rnd">
              <a:solidFill>
                <a:schemeClr val="accent5"/>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sommaires'!$R$36:$T$36</c:f>
              <c:numCache>
                <c:formatCode>#\ ##0\ "$"</c:formatCode>
                <c:ptCount val="3"/>
                <c:pt idx="0">
                  <c:v>1130.0848400000002</c:v>
                </c:pt>
                <c:pt idx="1">
                  <c:v>1272.6804926666666</c:v>
                </c:pt>
                <c:pt idx="2">
                  <c:v>1415.2761453333339</c:v>
                </c:pt>
              </c:numCache>
            </c:numRef>
          </c:val>
          <c:smooth val="0"/>
          <c:extLst>
            <c:ext xmlns:c16="http://schemas.microsoft.com/office/drawing/2014/chart" uri="{C3380CC4-5D6E-409C-BE32-E72D297353CC}">
              <c16:uniqueId val="{00000004-6BA3-4137-AF93-6D0ED79CEB7D}"/>
            </c:ext>
          </c:extLst>
        </c:ser>
        <c:ser>
          <c:idx val="5"/>
          <c:order val="5"/>
          <c:tx>
            <c:strRef>
              <c:f>'Résultats sommaires'!$Q$37</c:f>
              <c:strCache>
                <c:ptCount val="1"/>
                <c:pt idx="0">
                  <c:v>MG-SOYA-SEIGLE</c:v>
                </c:pt>
              </c:strCache>
            </c:strRef>
          </c:tx>
          <c:spPr>
            <a:ln w="28575" cap="rnd">
              <a:solidFill>
                <a:schemeClr val="accent6"/>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sommaires'!$R$37:$T$37</c:f>
              <c:numCache>
                <c:formatCode>#\ ##0\ "$"</c:formatCode>
                <c:ptCount val="3"/>
                <c:pt idx="0">
                  <c:v>1270.6477066666669</c:v>
                </c:pt>
                <c:pt idx="1">
                  <c:v>1415.7533026666667</c:v>
                </c:pt>
                <c:pt idx="2">
                  <c:v>1560.8588986666673</c:v>
                </c:pt>
              </c:numCache>
            </c:numRef>
          </c:val>
          <c:smooth val="0"/>
          <c:extLst>
            <c:ext xmlns:c16="http://schemas.microsoft.com/office/drawing/2014/chart" uri="{C3380CC4-5D6E-409C-BE32-E72D297353CC}">
              <c16:uniqueId val="{00000005-6BA3-4137-AF93-6D0ED79CEB7D}"/>
            </c:ext>
          </c:extLst>
        </c:ser>
        <c:ser>
          <c:idx val="6"/>
          <c:order val="6"/>
          <c:tx>
            <c:strRef>
              <c:f>'Résultats sommaires'!$Q$38</c:f>
              <c:strCache>
                <c:ptCount val="1"/>
                <c:pt idx="0">
                  <c:v>MG-SOYA-SEIGLE HYBRIDE D'AUTOMNE</c:v>
                </c:pt>
              </c:strCache>
            </c:strRef>
          </c:tx>
          <c:spPr>
            <a:ln w="28575" cap="rnd">
              <a:solidFill>
                <a:schemeClr val="accent1">
                  <a:lumMod val="60000"/>
                </a:schemeClr>
              </a:solidFill>
              <a:round/>
            </a:ln>
            <a:effectLst/>
          </c:spPr>
          <c:marker>
            <c:symbol val="none"/>
          </c:marker>
          <c:cat>
            <c:strRef>
              <c:f>'Résultats sommaires'!$R$31:$T$31</c:f>
              <c:strCache>
                <c:ptCount val="3"/>
                <c:pt idx="0">
                  <c:v>Moyenne annuelle 
Cycle 1</c:v>
                </c:pt>
                <c:pt idx="1">
                  <c:v>Moyenne annuelle 
Cycle 2</c:v>
                </c:pt>
                <c:pt idx="2">
                  <c:v>Moyenne annuelle 
Cycle 3</c:v>
                </c:pt>
              </c:strCache>
            </c:strRef>
          </c:cat>
          <c:val>
            <c:numRef>
              <c:f>'Résultats sommaires'!$R$38:$T$38</c:f>
              <c:numCache>
                <c:formatCode>#\ ##0\ "$"</c:formatCode>
                <c:ptCount val="3"/>
                <c:pt idx="0">
                  <c:v>1481.6006733333336</c:v>
                </c:pt>
                <c:pt idx="1">
                  <c:v>1638.2929360000001</c:v>
                </c:pt>
                <c:pt idx="2">
                  <c:v>1794.9851986666672</c:v>
                </c:pt>
              </c:numCache>
            </c:numRef>
          </c:val>
          <c:smooth val="0"/>
          <c:extLst>
            <c:ext xmlns:c16="http://schemas.microsoft.com/office/drawing/2014/chart" uri="{C3380CC4-5D6E-409C-BE32-E72D297353CC}">
              <c16:uniqueId val="{00000006-6BA3-4137-AF93-6D0ED79CEB7D}"/>
            </c:ext>
          </c:extLst>
        </c:ser>
        <c:dLbls>
          <c:showLegendKey val="0"/>
          <c:showVal val="0"/>
          <c:showCatName val="0"/>
          <c:showSerName val="0"/>
          <c:showPercent val="0"/>
          <c:showBubbleSize val="0"/>
        </c:dLbls>
        <c:smooth val="0"/>
        <c:axId val="692092352"/>
        <c:axId val="692090056"/>
      </c:lineChart>
      <c:catAx>
        <c:axId val="6920923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92090056"/>
        <c:crosses val="autoZero"/>
        <c:auto val="1"/>
        <c:lblAlgn val="ctr"/>
        <c:lblOffset val="100"/>
        <c:noMultiLvlLbl val="0"/>
      </c:catAx>
      <c:valAx>
        <c:axId val="692090056"/>
        <c:scaling>
          <c:orientation val="minMax"/>
          <c:max val="2250"/>
          <c:min val="5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920923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amortissement et rémunération du travail et de l'avoir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sommaires'!$Q$64</c:f>
              <c:strCache>
                <c:ptCount val="1"/>
                <c:pt idx="0">
                  <c:v>MG-SOYA</c:v>
                </c:pt>
              </c:strCache>
            </c:strRef>
          </c:tx>
          <c:spPr>
            <a:ln w="28575" cap="rnd">
              <a:solidFill>
                <a:schemeClr val="accent1"/>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sommaires'!$R$64:$T$64</c:f>
              <c:numCache>
                <c:formatCode>#\ ##0\ "$"</c:formatCode>
                <c:ptCount val="3"/>
                <c:pt idx="0">
                  <c:v>1147.8515100000004</c:v>
                </c:pt>
                <c:pt idx="1">
                  <c:v>1147.8515100000004</c:v>
                </c:pt>
                <c:pt idx="2">
                  <c:v>1147.8515100000004</c:v>
                </c:pt>
              </c:numCache>
            </c:numRef>
          </c:val>
          <c:smooth val="0"/>
          <c:extLst>
            <c:ext xmlns:c16="http://schemas.microsoft.com/office/drawing/2014/chart" uri="{C3380CC4-5D6E-409C-BE32-E72D297353CC}">
              <c16:uniqueId val="{00000000-A1FF-4FE5-85F8-F4F3EE6FB5D6}"/>
            </c:ext>
          </c:extLst>
        </c:ser>
        <c:ser>
          <c:idx val="1"/>
          <c:order val="1"/>
          <c:tx>
            <c:strRef>
              <c:f>'Résultats sommaires'!$Q$65</c:f>
              <c:strCache>
                <c:ptCount val="1"/>
                <c:pt idx="0">
                  <c:v>MG-SOYA-BLÉ D'AUTOMNE PANIFIABLE</c:v>
                </c:pt>
              </c:strCache>
            </c:strRef>
          </c:tx>
          <c:spPr>
            <a:ln w="28575" cap="rnd">
              <a:solidFill>
                <a:schemeClr val="accent2"/>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sommaires'!$R$65:$T$65</c:f>
              <c:numCache>
                <c:formatCode>#\ ##0\ "$"</c:formatCode>
                <c:ptCount val="3"/>
                <c:pt idx="0">
                  <c:v>956.84337333333326</c:v>
                </c:pt>
                <c:pt idx="1">
                  <c:v>1114.7467359999998</c:v>
                </c:pt>
                <c:pt idx="2">
                  <c:v>1272.650098666667</c:v>
                </c:pt>
              </c:numCache>
            </c:numRef>
          </c:val>
          <c:smooth val="0"/>
          <c:extLst>
            <c:ext xmlns:c16="http://schemas.microsoft.com/office/drawing/2014/chart" uri="{C3380CC4-5D6E-409C-BE32-E72D297353CC}">
              <c16:uniqueId val="{00000001-A1FF-4FE5-85F8-F4F3EE6FB5D6}"/>
            </c:ext>
          </c:extLst>
        </c:ser>
        <c:ser>
          <c:idx val="2"/>
          <c:order val="2"/>
          <c:tx>
            <c:strRef>
              <c:f>'Résultats sommaires'!$Q$66</c:f>
              <c:strCache>
                <c:ptCount val="1"/>
                <c:pt idx="0">
                  <c:v>MG-SOYA-BLÉ DE PRINTEMPS PANIFIABLE</c:v>
                </c:pt>
              </c:strCache>
            </c:strRef>
          </c:tx>
          <c:spPr>
            <a:ln w="28575" cap="rnd">
              <a:solidFill>
                <a:srgbClr val="7030A0"/>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sommaires'!$R$66:$T$66</c:f>
              <c:numCache>
                <c:formatCode>#\ ##0\ "$"</c:formatCode>
                <c:ptCount val="3"/>
                <c:pt idx="0">
                  <c:v>836.34047333333353</c:v>
                </c:pt>
                <c:pt idx="1">
                  <c:v>988.1444459999999</c:v>
                </c:pt>
                <c:pt idx="2">
                  <c:v>1139.9484186666671</c:v>
                </c:pt>
              </c:numCache>
            </c:numRef>
          </c:val>
          <c:smooth val="0"/>
          <c:extLst>
            <c:ext xmlns:c16="http://schemas.microsoft.com/office/drawing/2014/chart" uri="{C3380CC4-5D6E-409C-BE32-E72D297353CC}">
              <c16:uniqueId val="{00000002-A1FF-4FE5-85F8-F4F3EE6FB5D6}"/>
            </c:ext>
          </c:extLst>
        </c:ser>
        <c:ser>
          <c:idx val="3"/>
          <c:order val="3"/>
          <c:tx>
            <c:strRef>
              <c:f>'Résultats sommaires'!$Q$67</c:f>
              <c:strCache>
                <c:ptCount val="1"/>
                <c:pt idx="0">
                  <c:v>MG-SOYA-ORGE</c:v>
                </c:pt>
              </c:strCache>
            </c:strRef>
          </c:tx>
          <c:spPr>
            <a:ln w="28575" cap="rnd">
              <a:solidFill>
                <a:schemeClr val="accent4"/>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sommaires'!$R$67:$T$67</c:f>
              <c:numCache>
                <c:formatCode>#\ ##0\ "$"</c:formatCode>
                <c:ptCount val="3"/>
                <c:pt idx="0">
                  <c:v>647.90314000000023</c:v>
                </c:pt>
                <c:pt idx="1">
                  <c:v>794.39235266666674</c:v>
                </c:pt>
                <c:pt idx="2">
                  <c:v>940.8815653333337</c:v>
                </c:pt>
              </c:numCache>
            </c:numRef>
          </c:val>
          <c:smooth val="0"/>
          <c:extLst>
            <c:ext xmlns:c16="http://schemas.microsoft.com/office/drawing/2014/chart" uri="{C3380CC4-5D6E-409C-BE32-E72D297353CC}">
              <c16:uniqueId val="{00000003-A1FF-4FE5-85F8-F4F3EE6FB5D6}"/>
            </c:ext>
          </c:extLst>
        </c:ser>
        <c:ser>
          <c:idx val="4"/>
          <c:order val="4"/>
          <c:tx>
            <c:strRef>
              <c:f>'Résultats sommaires'!$Q$68</c:f>
              <c:strCache>
                <c:ptCount val="1"/>
                <c:pt idx="0">
                  <c:v>MG-SOYA-AVOINE</c:v>
                </c:pt>
              </c:strCache>
            </c:strRef>
          </c:tx>
          <c:spPr>
            <a:ln w="28575" cap="rnd">
              <a:solidFill>
                <a:schemeClr val="accent5"/>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sommaires'!$R$68:$T$68</c:f>
              <c:numCache>
                <c:formatCode>#\ ##0\ "$"</c:formatCode>
                <c:ptCount val="3"/>
                <c:pt idx="0">
                  <c:v>657.36484000000019</c:v>
                </c:pt>
                <c:pt idx="1">
                  <c:v>799.96049266666671</c:v>
                </c:pt>
                <c:pt idx="2">
                  <c:v>942.5561453333338</c:v>
                </c:pt>
              </c:numCache>
            </c:numRef>
          </c:val>
          <c:smooth val="0"/>
          <c:extLst>
            <c:ext xmlns:c16="http://schemas.microsoft.com/office/drawing/2014/chart" uri="{C3380CC4-5D6E-409C-BE32-E72D297353CC}">
              <c16:uniqueId val="{00000004-A1FF-4FE5-85F8-F4F3EE6FB5D6}"/>
            </c:ext>
          </c:extLst>
        </c:ser>
        <c:ser>
          <c:idx val="5"/>
          <c:order val="5"/>
          <c:tx>
            <c:strRef>
              <c:f>'Résultats sommaires'!$Q$69</c:f>
              <c:strCache>
                <c:ptCount val="1"/>
                <c:pt idx="0">
                  <c:v>MG-SOYA-SEIGLE</c:v>
                </c:pt>
              </c:strCache>
            </c:strRef>
          </c:tx>
          <c:spPr>
            <a:ln w="28575" cap="rnd">
              <a:solidFill>
                <a:schemeClr val="accent6"/>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sommaires'!$R$69:$T$69</c:f>
              <c:numCache>
                <c:formatCode>#\ ##0\ "$"</c:formatCode>
                <c:ptCount val="3"/>
                <c:pt idx="0">
                  <c:v>800.93104000000005</c:v>
                </c:pt>
                <c:pt idx="1">
                  <c:v>946.03663600000016</c:v>
                </c:pt>
                <c:pt idx="2">
                  <c:v>1091.1422320000004</c:v>
                </c:pt>
              </c:numCache>
            </c:numRef>
          </c:val>
          <c:smooth val="0"/>
          <c:extLst>
            <c:ext xmlns:c16="http://schemas.microsoft.com/office/drawing/2014/chart" uri="{C3380CC4-5D6E-409C-BE32-E72D297353CC}">
              <c16:uniqueId val="{00000005-A1FF-4FE5-85F8-F4F3EE6FB5D6}"/>
            </c:ext>
          </c:extLst>
        </c:ser>
        <c:ser>
          <c:idx val="6"/>
          <c:order val="6"/>
          <c:tx>
            <c:strRef>
              <c:f>'Résultats sommaires'!$Q$70</c:f>
              <c:strCache>
                <c:ptCount val="1"/>
                <c:pt idx="0">
                  <c:v>MG-SOYA-SEIGLE HYBRIDE D'AUTOMNE</c:v>
                </c:pt>
              </c:strCache>
            </c:strRef>
          </c:tx>
          <c:spPr>
            <a:ln w="28575" cap="rnd">
              <a:solidFill>
                <a:schemeClr val="accent1">
                  <a:lumMod val="60000"/>
                </a:schemeClr>
              </a:solidFill>
              <a:round/>
            </a:ln>
            <a:effectLst/>
          </c:spPr>
          <c:marker>
            <c:symbol val="none"/>
          </c:marker>
          <c:cat>
            <c:strRef>
              <c:f>'Résultats sommaires'!$R$63:$T$63</c:f>
              <c:strCache>
                <c:ptCount val="3"/>
                <c:pt idx="0">
                  <c:v>Moyenne annuelle 
Cycle 1</c:v>
                </c:pt>
                <c:pt idx="1">
                  <c:v>Moyenne annuelle 
Cycle 2</c:v>
                </c:pt>
                <c:pt idx="2">
                  <c:v>Moyenne annuelle 
Cycle 3</c:v>
                </c:pt>
              </c:strCache>
            </c:strRef>
          </c:cat>
          <c:val>
            <c:numRef>
              <c:f>'Résultats sommaires'!$R$70:$T$70</c:f>
              <c:numCache>
                <c:formatCode>#\ ##0\ "$"</c:formatCode>
                <c:ptCount val="3"/>
                <c:pt idx="0">
                  <c:v>1011.8840066666668</c:v>
                </c:pt>
                <c:pt idx="1">
                  <c:v>1168.5762693333334</c:v>
                </c:pt>
                <c:pt idx="2">
                  <c:v>1325.2685320000005</c:v>
                </c:pt>
              </c:numCache>
            </c:numRef>
          </c:val>
          <c:smooth val="0"/>
          <c:extLst>
            <c:ext xmlns:c16="http://schemas.microsoft.com/office/drawing/2014/chart" uri="{C3380CC4-5D6E-409C-BE32-E72D297353CC}">
              <c16:uniqueId val="{00000006-A1FF-4FE5-85F8-F4F3EE6FB5D6}"/>
            </c:ext>
          </c:extLst>
        </c:ser>
        <c:dLbls>
          <c:showLegendKey val="0"/>
          <c:showVal val="0"/>
          <c:showCatName val="0"/>
          <c:showSerName val="0"/>
          <c:showPercent val="0"/>
          <c:showBubbleSize val="0"/>
        </c:dLbls>
        <c:smooth val="0"/>
        <c:axId val="681607256"/>
        <c:axId val="681607584"/>
      </c:lineChart>
      <c:catAx>
        <c:axId val="681607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81607584"/>
        <c:crosses val="autoZero"/>
        <c:auto val="1"/>
        <c:lblAlgn val="ctr"/>
        <c:lblOffset val="100"/>
        <c:noMultiLvlLbl val="0"/>
      </c:catAx>
      <c:valAx>
        <c:axId val="681607584"/>
        <c:scaling>
          <c:orientation val="minMax"/>
          <c:max val="1500"/>
          <c:min val="25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81607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0</xdr:colOff>
      <xdr:row>0</xdr:row>
      <xdr:rowOff>0</xdr:rowOff>
    </xdr:from>
    <xdr:to>
      <xdr:col>15</xdr:col>
      <xdr:colOff>0</xdr:colOff>
      <xdr:row>23</xdr:row>
      <xdr:rowOff>0</xdr:rowOff>
    </xdr:to>
    <xdr:graphicFrame macro="">
      <xdr:nvGraphicFramePr>
        <xdr:cNvPr id="2" name="Graphique 1">
          <a:extLst>
            <a:ext uri="{FF2B5EF4-FFF2-40B4-BE49-F238E27FC236}">
              <a16:creationId xmlns:a16="http://schemas.microsoft.com/office/drawing/2014/main" id="{B99D03BF-5569-DD35-2BFC-B055599086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51</xdr:row>
      <xdr:rowOff>0</xdr:rowOff>
    </xdr:from>
    <xdr:to>
      <xdr:col>15</xdr:col>
      <xdr:colOff>0</xdr:colOff>
      <xdr:row>76</xdr:row>
      <xdr:rowOff>0</xdr:rowOff>
    </xdr:to>
    <xdr:graphicFrame macro="">
      <xdr:nvGraphicFramePr>
        <xdr:cNvPr id="3" name="Graphique 2">
          <a:extLst>
            <a:ext uri="{FF2B5EF4-FFF2-40B4-BE49-F238E27FC236}">
              <a16:creationId xmlns:a16="http://schemas.microsoft.com/office/drawing/2014/main" id="{42A40BEE-C558-AE46-CCEC-41576BC7ACB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xdr:colOff>
      <xdr:row>24</xdr:row>
      <xdr:rowOff>0</xdr:rowOff>
    </xdr:from>
    <xdr:to>
      <xdr:col>15</xdr:col>
      <xdr:colOff>1</xdr:colOff>
      <xdr:row>50</xdr:row>
      <xdr:rowOff>0</xdr:rowOff>
    </xdr:to>
    <xdr:graphicFrame macro="">
      <xdr:nvGraphicFramePr>
        <xdr:cNvPr id="4" name="Graphique 3">
          <a:extLst>
            <a:ext uri="{FF2B5EF4-FFF2-40B4-BE49-F238E27FC236}">
              <a16:creationId xmlns:a16="http://schemas.microsoft.com/office/drawing/2014/main" id="{267B28B3-EEF2-C04D-EB5B-0F73EB68E40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0</xdr:colOff>
      <xdr:row>0</xdr:row>
      <xdr:rowOff>1</xdr:rowOff>
    </xdr:from>
    <xdr:to>
      <xdr:col>31</xdr:col>
      <xdr:colOff>0</xdr:colOff>
      <xdr:row>22</xdr:row>
      <xdr:rowOff>1</xdr:rowOff>
    </xdr:to>
    <xdr:graphicFrame macro="">
      <xdr:nvGraphicFramePr>
        <xdr:cNvPr id="5" name="Graphique 4">
          <a:extLst>
            <a:ext uri="{FF2B5EF4-FFF2-40B4-BE49-F238E27FC236}">
              <a16:creationId xmlns:a16="http://schemas.microsoft.com/office/drawing/2014/main" id="{9298FC24-48DF-F11B-7AE4-77672CA41F4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0</xdr:colOff>
      <xdr:row>22</xdr:row>
      <xdr:rowOff>185614</xdr:rowOff>
    </xdr:from>
    <xdr:to>
      <xdr:col>31</xdr:col>
      <xdr:colOff>0</xdr:colOff>
      <xdr:row>49</xdr:row>
      <xdr:rowOff>185615</xdr:rowOff>
    </xdr:to>
    <xdr:graphicFrame macro="">
      <xdr:nvGraphicFramePr>
        <xdr:cNvPr id="6" name="Graphique 5">
          <a:extLst>
            <a:ext uri="{FF2B5EF4-FFF2-40B4-BE49-F238E27FC236}">
              <a16:creationId xmlns:a16="http://schemas.microsoft.com/office/drawing/2014/main" id="{FC2F4AC0-5B80-636E-A576-4D9C0D32D3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21</xdr:col>
      <xdr:colOff>0</xdr:colOff>
      <xdr:row>51</xdr:row>
      <xdr:rowOff>0</xdr:rowOff>
    </xdr:from>
    <xdr:to>
      <xdr:col>31</xdr:col>
      <xdr:colOff>0</xdr:colOff>
      <xdr:row>76</xdr:row>
      <xdr:rowOff>0</xdr:rowOff>
    </xdr:to>
    <xdr:graphicFrame macro="">
      <xdr:nvGraphicFramePr>
        <xdr:cNvPr id="7" name="Graphique 6">
          <a:extLst>
            <a:ext uri="{FF2B5EF4-FFF2-40B4-BE49-F238E27FC236}">
              <a16:creationId xmlns:a16="http://schemas.microsoft.com/office/drawing/2014/main" id="{40EF7FBD-1AFB-8D31-97A2-8FF366A66D9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Philippe Leriche" id="{36ED1B94-5635-4769-83E1-4887D5DFE317}" userId="Philippe Leriche" providerId="Non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56" dT="2023-01-13T17:27:32.37" personId="{36ED1B94-5635-4769-83E1-4887D5DFE317}" id="{65B4F382-DECE-4579-93DD-49178B953CCB}">
    <text xml:space="preserve">Les analyses sont effectuées sur trois cycles de rotation. Un cycle de rotation varie entre 2 à 3 ans en fonction du nombre de cultures. Par exemple une rotation MG-Soya représente un cycle de 2 ans (an 1 = MG et an 2 = Soya) tandis qu’une rotation MG-Soya-Blé d’automne représente un cycle de 3 ans (an 1 = MG, an 2 = Soya et an 3 = Blé d’automne) . </text>
  </threadedComment>
</ThreadedComments>
</file>

<file path=xl/threadedComments/threadedComment2.xml><?xml version="1.0" encoding="utf-8"?>
<ThreadedComments xmlns="http://schemas.microsoft.com/office/spreadsheetml/2018/threadedcomments" xmlns:x="http://schemas.openxmlformats.org/spreadsheetml/2006/main">
  <threadedComment ref="G19" dT="2022-10-19T14:21:37.92" personId="{36ED1B94-5635-4769-83E1-4887D5DFE317}" id="{948E878C-2CC3-4225-AA0E-8251E1595A7C}">
    <text>Si vous avez une charge globale, inscrivez la totalité de la charge dans une même cellule.</text>
  </threadedComment>
</ThreadedComments>
</file>

<file path=xl/threadedComments/threadedComment3.xml><?xml version="1.0" encoding="utf-8"?>
<ThreadedComments xmlns="http://schemas.microsoft.com/office/spreadsheetml/2018/threadedcomments" xmlns:x="http://schemas.openxmlformats.org/spreadsheetml/2006/main">
  <threadedComment ref="E16" dT="2022-11-14T18:44:51.07" personId="{36ED1B94-5635-4769-83E1-4887D5DFE317}" id="{41E53384-470F-4D32-AF4E-BAD4657ED004}">
    <text>Ce poste budgétaire inclut les charges de fertilisants et de chaux, qui sont regroupées dans les études de coûts du CECPA.</text>
  </threadedComment>
  <threadedComment ref="E20" dT="2022-11-14T19:23:05.97" personId="{36ED1B94-5635-4769-83E1-4887D5DFE317}" id="{2E682791-02D3-4834-9AD4-DBD508CAC2AA}">
    <text>Les charges de location de machinerie et bâtiments, de fonds de terre et de travaux à forfait puisque les études de coûts du CECPA regroupent ces charges.</text>
  </threadedComment>
  <threadedComment ref="E24" dT="2022-11-14T19:25:57.10" personId="{36ED1B94-5635-4769-83E1-4887D5DFE317}" id="{47B06710-3157-4EC1-8B89-C96CA9C26D39}">
    <text>Les charges d'entretien et réparation machinerie regroupent les charges de carburants et gaz propane pour refléter les charges "opérations culturales" dans les études de coûts du CECPA</text>
  </threadedComment>
  <threadedComment ref="E44" dT="2022-11-14T19:32:24.35" personId="{36ED1B94-5635-4769-83E1-4887D5DFE317}" id="{4995D280-72BA-46DB-AC98-0FCA8391D645}">
    <text>Le poste "Autres frais" réfère au poste "Autres frais" des études de coûts du CECPA. Il est possible que ces autres coûts incluent les charges d'Assurances diverses, de taxes foncières et d'intérêts à moyen et long terme.</text>
  </threadedComment>
</ThreadedComments>
</file>

<file path=xl/threadedComments/threadedComment4.xml><?xml version="1.0" encoding="utf-8"?>
<ThreadedComments xmlns="http://schemas.microsoft.com/office/spreadsheetml/2018/threadedcomments" xmlns:x="http://schemas.openxmlformats.org/spreadsheetml/2006/main">
  <threadedComment ref="E16" dT="2022-11-14T18:44:51.07" personId="{36ED1B94-5635-4769-83E1-4887D5DFE317}" id="{FE9EC1F6-2DDA-4B6E-9393-02D15F51EA17}">
    <text>Ce poste budgétaire inclut les charges de fertilisants et de chaux, qui sont regroupées dans les études de coûts du CECPA.</text>
  </threadedComment>
  <threadedComment ref="E20" dT="2022-11-14T19:23:05.97" personId="{36ED1B94-5635-4769-83E1-4887D5DFE317}" id="{45F6E142-CB69-4216-8A66-5956155E17B9}">
    <text>Les charges de location de machinerie et bâtiments, de fonds de terre et de travaux à forfait puisque les études de coûts du CECPA regroupent ces charges.</text>
  </threadedComment>
  <threadedComment ref="E24" dT="2022-11-14T19:25:57.10" personId="{36ED1B94-5635-4769-83E1-4887D5DFE317}" id="{0E7FC899-77A0-47A8-90CF-EEA0DE827DE1}">
    <text>Les charges d'entretien et réparation machinerie regroupent les charges de carburants et gaz propane pour refléter les charges "opérations culturales" dans les études de coûts du CECPA</text>
  </threadedComment>
  <threadedComment ref="E44" dT="2022-11-14T19:32:24.35" personId="{36ED1B94-5635-4769-83E1-4887D5DFE317}" id="{D1FB5849-4D37-4EC1-B1EC-C6EC072D2F87}">
    <text>Le poste "Autres frais" réfère au poste "Autres frais" des études de coûts du CECPA. Il est possible que ces autres coûts incluent les charges d'Assurances diverses, de taxes foncières et d'intérêts à moyen et long terme.</text>
  </threadedComment>
</ThreadedComments>
</file>

<file path=xl/threadedComments/threadedComment5.xml><?xml version="1.0" encoding="utf-8"?>
<ThreadedComments xmlns="http://schemas.microsoft.com/office/spreadsheetml/2018/threadedcomments" xmlns:x="http://schemas.openxmlformats.org/spreadsheetml/2006/main">
  <threadedComment ref="B7" dT="2023-01-13T16:28:25.79" personId="{36ED1B94-5635-4769-83E1-4887D5DFE317}" id="{4E12919E-65EF-4E16-8553-F1AEFE1992CC}">
    <text>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25 % de plus que le rendement du blé de printemps. Cette information peut être modifiée pour les exploitations agricoles en indiquant le rendement des productions elles-mêmes dans l'onglet "Saisie" sous la section "Vos rendements".</text>
  </threadedComment>
  <threadedComment ref="B10" dT="2022-12-09T14:00:01.38" personId="{36ED1B94-5635-4769-83E1-4887D5DFE317}" id="{5CA65002-9BFF-4B18-9013-39907DF99AAF}">
    <text>Des échanges avec agronomes et producteurs agricoles nous amènent à modifier le rendement du seigle hybride à 1 T/ha plus élevé que le rendement du blé d'automne</text>
  </threadedComment>
</ThreadedComments>
</file>

<file path=xl/threadedComments/threadedComment6.xml><?xml version="1.0" encoding="utf-8"?>
<ThreadedComments xmlns="http://schemas.microsoft.com/office/spreadsheetml/2018/threadedcomments" xmlns:x="http://schemas.openxmlformats.org/spreadsheetml/2006/main">
  <threadedComment ref="B9" dT="2022-12-09T13:58:13.25" personId="{36ED1B94-5635-4769-83E1-4887D5DFE317}" id="{7DEAB615-5AE4-44C0-9428-EF7B296386D5}">
    <text>Des échanges avec des agronomes et des producteurs agricoles nous amènent à changer le prix du seigle à 75 % du prix du blé.</text>
  </threadedComment>
</ThreadedComments>
</file>

<file path=xl/threadedComments/threadedComment7.xml><?xml version="1.0" encoding="utf-8"?>
<ThreadedComments xmlns="http://schemas.microsoft.com/office/spreadsheetml/2018/threadedcomments" xmlns:x="http://schemas.openxmlformats.org/spreadsheetml/2006/main">
  <threadedComment ref="B3" dT="2023-01-12T21:39:00.54" personId="{36ED1B94-5635-4769-83E1-4887D5DFE317}" id="{AF55EDD3-B118-4049-905A-ACB35C88574F}">
    <text xml:space="preserve">Les analyses sont effectuées sur trois cycles de rotation. Un cycle de rotation varie entre 2 à 3 ans en fonction du nombre de cultures. Par exemple une rotation MG-Soya représente un cycle de 2 ans (an 1 = MG et an 2 = Soya) tandis qu’une rotation MG-Soya-Blé d’automne représente un cycle de 3 ans (an 1 = MG, an 2 = Soya et an 3 = Blé d’automne) . </text>
  </threadedComment>
  <threadedComment ref="O3" dT="2023-01-13T17:27:59.57" personId="{36ED1B94-5635-4769-83E1-4887D5DFE317}" id="{BF612131-6AC7-4B6F-90B7-7858052BA545}">
    <text xml:space="preserve">Les analyses sont effectuées sur trois cycles de rotation. Un cycle de rotation varie entre 2 à 3 ans en fonction du nombre de cultures. Par exemple une rotation MG-Soya représente un cycle de 2 ans (an 1 = MG et an 2 = Soya) tandis qu’une rotation MG-Soya-Blé d’automne représente un cycle de 3 ans (an 1 = MG, an 2 = Soya et an 3 = Blé d’automne) . </text>
  </threadedComment>
</ThreadedComments>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lenethiboutot@concertationgrainsquebec.ca"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5.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6.bin"/><Relationship Id="rId4" Type="http://schemas.microsoft.com/office/2017/10/relationships/threadedComment" Target="../threadedComments/threadedComment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2044-8F91-49E0-A23A-08C257DA2917}">
  <sheetPr>
    <tabColor theme="5" tint="0.79998168889431442"/>
  </sheetPr>
  <dimension ref="A1:H23"/>
  <sheetViews>
    <sheetView zoomScaleNormal="100" workbookViewId="0">
      <selection activeCell="L5" sqref="L5"/>
    </sheetView>
  </sheetViews>
  <sheetFormatPr baseColWidth="10" defaultColWidth="10.85546875" defaultRowHeight="15" x14ac:dyDescent="0.25"/>
  <cols>
    <col min="1" max="1" width="17.85546875" customWidth="1"/>
  </cols>
  <sheetData>
    <row r="1" spans="1:8" x14ac:dyDescent="0.25">
      <c r="A1" s="10" t="s">
        <v>58</v>
      </c>
      <c r="B1" s="11"/>
      <c r="C1" s="11"/>
      <c r="D1" s="11"/>
      <c r="E1" s="11"/>
      <c r="F1" s="11"/>
      <c r="G1" s="11"/>
      <c r="H1" s="11"/>
    </row>
    <row r="2" spans="1:8" ht="27.6" customHeight="1" x14ac:dyDescent="0.25">
      <c r="A2" s="88" t="s">
        <v>153</v>
      </c>
      <c r="B2" s="88"/>
      <c r="C2" s="88"/>
      <c r="D2" s="88"/>
      <c r="E2" s="88"/>
      <c r="F2" s="88"/>
      <c r="G2" s="88"/>
      <c r="H2" s="88"/>
    </row>
    <row r="4" spans="1:8" x14ac:dyDescent="0.25">
      <c r="A4" s="10" t="s">
        <v>59</v>
      </c>
      <c r="B4" s="11"/>
      <c r="C4" s="11"/>
      <c r="D4" s="11"/>
      <c r="E4" s="11"/>
      <c r="F4" s="11"/>
      <c r="G4" s="11"/>
      <c r="H4" s="11"/>
    </row>
    <row r="5" spans="1:8" ht="198.6" customHeight="1" x14ac:dyDescent="0.25">
      <c r="A5" s="12" t="s">
        <v>60</v>
      </c>
      <c r="B5" s="88" t="s">
        <v>167</v>
      </c>
      <c r="C5" s="88"/>
      <c r="D5" s="88"/>
      <c r="E5" s="88"/>
      <c r="F5" s="88"/>
      <c r="G5" s="88"/>
      <c r="H5" s="88"/>
    </row>
    <row r="6" spans="1:8" ht="75.599999999999994" customHeight="1" x14ac:dyDescent="0.25">
      <c r="A6" s="13" t="s">
        <v>168</v>
      </c>
      <c r="B6" s="88" t="s">
        <v>119</v>
      </c>
      <c r="C6" s="88"/>
      <c r="D6" s="88"/>
      <c r="E6" s="88"/>
      <c r="F6" s="88"/>
      <c r="G6" s="88"/>
      <c r="H6" s="88"/>
    </row>
    <row r="7" spans="1:8" ht="30" hidden="1" x14ac:dyDescent="0.25">
      <c r="A7" s="13" t="s">
        <v>208</v>
      </c>
      <c r="B7" s="89" t="s">
        <v>209</v>
      </c>
      <c r="C7" s="89"/>
      <c r="D7" s="89"/>
      <c r="E7" s="89"/>
      <c r="F7" s="89"/>
      <c r="G7" s="89"/>
      <c r="H7" s="89"/>
    </row>
    <row r="8" spans="1:8" ht="30" hidden="1" x14ac:dyDescent="0.25">
      <c r="A8" s="13" t="s">
        <v>133</v>
      </c>
      <c r="B8" s="89" t="s">
        <v>210</v>
      </c>
      <c r="C8" s="89"/>
      <c r="D8" s="89"/>
      <c r="E8" s="89"/>
      <c r="F8" s="89"/>
      <c r="G8" s="89"/>
      <c r="H8" s="89"/>
    </row>
    <row r="9" spans="1:8" ht="32.450000000000003" hidden="1" customHeight="1" x14ac:dyDescent="0.25">
      <c r="A9" s="13" t="s">
        <v>120</v>
      </c>
      <c r="B9" s="88" t="s">
        <v>122</v>
      </c>
      <c r="C9" s="88"/>
      <c r="D9" s="88"/>
      <c r="E9" s="88"/>
      <c r="F9" s="88"/>
      <c r="G9" s="88"/>
      <c r="H9" s="88"/>
    </row>
    <row r="10" spans="1:8" ht="32.450000000000003" hidden="1" customHeight="1" x14ac:dyDescent="0.25">
      <c r="A10" s="13" t="s">
        <v>121</v>
      </c>
      <c r="B10" s="88" t="s">
        <v>207</v>
      </c>
      <c r="C10" s="88"/>
      <c r="D10" s="88"/>
      <c r="E10" s="88"/>
      <c r="F10" s="88"/>
      <c r="G10" s="88"/>
      <c r="H10" s="88"/>
    </row>
    <row r="11" spans="1:8" ht="34.5" hidden="1" customHeight="1" x14ac:dyDescent="0.25">
      <c r="A11" s="13" t="s">
        <v>123</v>
      </c>
      <c r="B11" s="88" t="s">
        <v>124</v>
      </c>
      <c r="C11" s="88"/>
      <c r="D11" s="88"/>
      <c r="E11" s="88"/>
      <c r="F11" s="88"/>
      <c r="G11" s="88"/>
      <c r="H11" s="88"/>
    </row>
    <row r="12" spans="1:8" ht="44.1" customHeight="1" x14ac:dyDescent="0.25">
      <c r="A12" s="13" t="s">
        <v>188</v>
      </c>
      <c r="B12" s="88" t="s">
        <v>125</v>
      </c>
      <c r="C12" s="88"/>
      <c r="D12" s="88"/>
      <c r="E12" s="88"/>
      <c r="F12" s="88"/>
      <c r="G12" s="88"/>
      <c r="H12" s="88"/>
    </row>
    <row r="13" spans="1:8" ht="59.45" customHeight="1" x14ac:dyDescent="0.25">
      <c r="A13" s="13" t="s">
        <v>196</v>
      </c>
      <c r="B13" s="89" t="s">
        <v>201</v>
      </c>
      <c r="C13" s="89"/>
      <c r="D13" s="89"/>
      <c r="E13" s="89"/>
      <c r="F13" s="89"/>
      <c r="G13" s="89"/>
      <c r="H13" s="89"/>
    </row>
    <row r="15" spans="1:8" x14ac:dyDescent="0.25">
      <c r="A15" s="10" t="s">
        <v>61</v>
      </c>
      <c r="B15" s="11"/>
      <c r="C15" s="11"/>
      <c r="D15" s="11"/>
      <c r="E15" s="11"/>
      <c r="F15" s="11"/>
      <c r="G15" s="11"/>
      <c r="H15" s="11"/>
    </row>
    <row r="16" spans="1:8" ht="78" customHeight="1" x14ac:dyDescent="0.25">
      <c r="A16" s="88" t="s">
        <v>169</v>
      </c>
      <c r="B16" s="88"/>
      <c r="C16" s="88"/>
      <c r="D16" s="88"/>
      <c r="E16" s="88"/>
      <c r="F16" s="88"/>
      <c r="G16" s="88"/>
      <c r="H16" s="88"/>
    </row>
    <row r="18" spans="1:8" x14ac:dyDescent="0.25">
      <c r="A18" s="10" t="s">
        <v>62</v>
      </c>
      <c r="B18" s="11"/>
      <c r="C18" s="11"/>
      <c r="D18" s="11"/>
      <c r="E18" s="11"/>
      <c r="F18" s="11"/>
      <c r="G18" s="11"/>
      <c r="H18" s="11"/>
    </row>
    <row r="19" spans="1:8" x14ac:dyDescent="0.25">
      <c r="A19" s="88" t="s">
        <v>170</v>
      </c>
      <c r="B19" s="88"/>
      <c r="C19" s="88"/>
      <c r="D19" s="88"/>
      <c r="E19" s="88"/>
      <c r="F19" s="88"/>
      <c r="G19" s="88"/>
      <c r="H19" s="88"/>
    </row>
    <row r="20" spans="1:8" x14ac:dyDescent="0.25">
      <c r="A20" s="57" t="s">
        <v>171</v>
      </c>
    </row>
    <row r="22" spans="1:8" x14ac:dyDescent="0.25">
      <c r="A22" s="10" t="s">
        <v>186</v>
      </c>
      <c r="B22" s="11"/>
      <c r="C22" s="11"/>
      <c r="D22" s="11"/>
      <c r="E22" s="11"/>
      <c r="F22" s="11"/>
      <c r="G22" s="11"/>
      <c r="H22" s="11"/>
    </row>
    <row r="23" spans="1:8" ht="42" customHeight="1" x14ac:dyDescent="0.25">
      <c r="A23" s="88" t="s">
        <v>187</v>
      </c>
      <c r="B23" s="88"/>
      <c r="C23" s="88"/>
      <c r="D23" s="88"/>
      <c r="E23" s="88"/>
      <c r="F23" s="88"/>
      <c r="G23" s="88"/>
      <c r="H23" s="88"/>
    </row>
  </sheetData>
  <mergeCells count="13">
    <mergeCell ref="A23:H23"/>
    <mergeCell ref="A19:H19"/>
    <mergeCell ref="A2:H2"/>
    <mergeCell ref="B5:H5"/>
    <mergeCell ref="B6:H6"/>
    <mergeCell ref="A16:H16"/>
    <mergeCell ref="B9:H9"/>
    <mergeCell ref="B10:H10"/>
    <mergeCell ref="B11:H11"/>
    <mergeCell ref="B12:H12"/>
    <mergeCell ref="B13:H13"/>
    <mergeCell ref="B7:H7"/>
    <mergeCell ref="B8:H8"/>
  </mergeCells>
  <hyperlinks>
    <hyperlink ref="A20" r:id="rId1" xr:uid="{AD652633-1B6B-4A7B-B317-A5A36C14E420}"/>
  </hyperlinks>
  <pageMargins left="0.7" right="0.7" top="0.75" bottom="0.75" header="0.3" footer="0.3"/>
  <pageSetup scale="93" orientation="portrait" r:id="rId2"/>
  <colBreaks count="1" manualBreakCount="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D4843-BFF4-4618-A90C-C8ABAD344A8D}">
  <sheetPr>
    <tabColor theme="5" tint="0.79998168889431442"/>
  </sheetPr>
  <dimension ref="A1:C67"/>
  <sheetViews>
    <sheetView zoomScaleNormal="100" workbookViewId="0"/>
  </sheetViews>
  <sheetFormatPr baseColWidth="10" defaultColWidth="10.85546875" defaultRowHeight="15" x14ac:dyDescent="0.25"/>
  <cols>
    <col min="1" max="1" width="25.42578125" customWidth="1"/>
    <col min="2" max="2" width="31.42578125" customWidth="1"/>
    <col min="3" max="3" width="22.85546875" customWidth="1"/>
    <col min="8" max="8" width="11.5703125" customWidth="1"/>
  </cols>
  <sheetData>
    <row r="1" spans="1:3" x14ac:dyDescent="0.25">
      <c r="A1" s="10" t="s">
        <v>56</v>
      </c>
      <c r="B1" s="11" t="s">
        <v>7</v>
      </c>
    </row>
    <row r="2" spans="1:3" x14ac:dyDescent="0.25">
      <c r="A2" s="10" t="s">
        <v>57</v>
      </c>
      <c r="B2" s="11" t="s">
        <v>51</v>
      </c>
    </row>
    <row r="4" spans="1:3" x14ac:dyDescent="0.25">
      <c r="A4" s="10" t="s">
        <v>54</v>
      </c>
      <c r="B4" s="11"/>
      <c r="C4" s="11"/>
    </row>
    <row r="5" spans="1:3" ht="57" customHeight="1" x14ac:dyDescent="0.25">
      <c r="A5" s="88" t="s">
        <v>4</v>
      </c>
      <c r="B5" s="88"/>
      <c r="C5" s="88"/>
    </row>
    <row r="6" spans="1:3" x14ac:dyDescent="0.25">
      <c r="B6" s="91" t="s">
        <v>192</v>
      </c>
      <c r="C6" s="91"/>
    </row>
    <row r="7" spans="1:3" x14ac:dyDescent="0.25">
      <c r="B7" s="26" t="s">
        <v>5</v>
      </c>
      <c r="C7" s="27" t="s">
        <v>6</v>
      </c>
    </row>
    <row r="8" spans="1:3" x14ac:dyDescent="0.25">
      <c r="A8" t="s">
        <v>0</v>
      </c>
      <c r="B8">
        <f>Rendements_CECPA!B3</f>
        <v>10.9</v>
      </c>
      <c r="C8" s="28"/>
    </row>
    <row r="9" spans="1:3" x14ac:dyDescent="0.25">
      <c r="A9" t="s">
        <v>1</v>
      </c>
      <c r="B9">
        <f>Rendements_CECPA!B4</f>
        <v>3.9</v>
      </c>
      <c r="C9" s="28"/>
    </row>
    <row r="10" spans="1:3" x14ac:dyDescent="0.25">
      <c r="A10" t="s">
        <v>2</v>
      </c>
      <c r="B10">
        <f>Rendements_CECPA!B5</f>
        <v>3.8</v>
      </c>
      <c r="C10" s="28"/>
    </row>
    <row r="11" spans="1:3" x14ac:dyDescent="0.25">
      <c r="A11" t="s">
        <v>3</v>
      </c>
      <c r="B11">
        <f>Rendements_CECPA!B6</f>
        <v>2.8</v>
      </c>
      <c r="C11" s="28"/>
    </row>
    <row r="12" spans="1:3" x14ac:dyDescent="0.25">
      <c r="A12" t="s">
        <v>189</v>
      </c>
      <c r="B12">
        <f>Rendements_CECPA!B8</f>
        <v>3.6</v>
      </c>
      <c r="C12" s="28"/>
    </row>
    <row r="13" spans="1:3" x14ac:dyDescent="0.25">
      <c r="A13" t="s">
        <v>190</v>
      </c>
      <c r="B13">
        <f>Rendements_CECPA!B7</f>
        <v>4.5</v>
      </c>
      <c r="C13" s="28"/>
    </row>
    <row r="14" spans="1:3" x14ac:dyDescent="0.25">
      <c r="A14" t="s">
        <v>146</v>
      </c>
      <c r="B14">
        <f>Rendements_CECPA!B9</f>
        <v>3.2</v>
      </c>
      <c r="C14" s="28"/>
    </row>
    <row r="15" spans="1:3" x14ac:dyDescent="0.25">
      <c r="A15" t="s">
        <v>191</v>
      </c>
      <c r="B15" s="56">
        <f>Rendements_CECPA!B10</f>
        <v>5.5</v>
      </c>
      <c r="C15" s="28"/>
    </row>
    <row r="17" spans="1:3" x14ac:dyDescent="0.25">
      <c r="A17" s="10" t="s">
        <v>55</v>
      </c>
      <c r="B17" s="11"/>
      <c r="C17" s="11"/>
    </row>
    <row r="18" spans="1:3" ht="43.7" customHeight="1" x14ac:dyDescent="0.25">
      <c r="A18" s="88" t="s">
        <v>10</v>
      </c>
      <c r="B18" s="88"/>
      <c r="C18" s="88"/>
    </row>
    <row r="19" spans="1:3" x14ac:dyDescent="0.25">
      <c r="B19" s="91" t="s">
        <v>193</v>
      </c>
      <c r="C19" s="91"/>
    </row>
    <row r="20" spans="1:3" x14ac:dyDescent="0.25">
      <c r="B20" s="26" t="s">
        <v>8</v>
      </c>
      <c r="C20" s="27" t="s">
        <v>9</v>
      </c>
    </row>
    <row r="21" spans="1:3" x14ac:dyDescent="0.25">
      <c r="A21" t="s">
        <v>0</v>
      </c>
      <c r="B21" s="50">
        <f>Prix_CECPA!B3</f>
        <v>341</v>
      </c>
      <c r="C21" s="28"/>
    </row>
    <row r="22" spans="1:3" x14ac:dyDescent="0.25">
      <c r="A22" t="s">
        <v>1</v>
      </c>
      <c r="B22" s="50">
        <f>Prix_CECPA!B4</f>
        <v>580</v>
      </c>
      <c r="C22" s="28"/>
    </row>
    <row r="23" spans="1:3" x14ac:dyDescent="0.25">
      <c r="A23" t="s">
        <v>2</v>
      </c>
      <c r="B23" s="50">
        <f>Prix_CECPA!B5</f>
        <v>275</v>
      </c>
      <c r="C23" s="28"/>
    </row>
    <row r="24" spans="1:3" x14ac:dyDescent="0.25">
      <c r="A24" t="s">
        <v>3</v>
      </c>
      <c r="B24" s="50">
        <f>Prix_CECPA!B6</f>
        <v>278</v>
      </c>
      <c r="C24" s="28"/>
    </row>
    <row r="25" spans="1:3" x14ac:dyDescent="0.25">
      <c r="A25" t="s">
        <v>189</v>
      </c>
      <c r="B25" s="50">
        <f>Prix_CECPA!B8</f>
        <v>366</v>
      </c>
      <c r="C25" s="28"/>
    </row>
    <row r="26" spans="1:3" x14ac:dyDescent="0.25">
      <c r="A26" t="s">
        <v>190</v>
      </c>
      <c r="B26" s="50">
        <f>Prix_CECPA!B7</f>
        <v>366</v>
      </c>
      <c r="C26" s="28"/>
    </row>
    <row r="27" spans="1:3" x14ac:dyDescent="0.25">
      <c r="A27" t="s">
        <v>146</v>
      </c>
      <c r="B27" s="50">
        <f>Prix_CECPA!B9</f>
        <v>275</v>
      </c>
      <c r="C27" s="28"/>
    </row>
    <row r="28" spans="1:3" x14ac:dyDescent="0.25">
      <c r="A28" t="s">
        <v>191</v>
      </c>
      <c r="B28" s="50">
        <f>Prix_CECPA!B10</f>
        <v>275</v>
      </c>
      <c r="C28" s="28"/>
    </row>
    <row r="30" spans="1:3" x14ac:dyDescent="0.25">
      <c r="A30" s="10" t="s">
        <v>108</v>
      </c>
      <c r="B30" s="11"/>
      <c r="C30" s="11"/>
    </row>
    <row r="31" spans="1:3" ht="75" customHeight="1" x14ac:dyDescent="0.25">
      <c r="A31" s="88" t="s">
        <v>126</v>
      </c>
      <c r="B31" s="88"/>
      <c r="C31" s="88"/>
    </row>
    <row r="32" spans="1:3" ht="14.45" customHeight="1" x14ac:dyDescent="0.25">
      <c r="A32" s="36"/>
      <c r="B32" s="36"/>
      <c r="C32" s="36"/>
    </row>
    <row r="33" spans="1:3" ht="14.45" customHeight="1" x14ac:dyDescent="0.25">
      <c r="A33" s="36"/>
      <c r="B33" s="33" t="s">
        <v>133</v>
      </c>
      <c r="C33" s="36"/>
    </row>
    <row r="34" spans="1:3" ht="27" customHeight="1" x14ac:dyDescent="0.25">
      <c r="A34" s="36" t="s">
        <v>143</v>
      </c>
      <c r="B34" s="28" t="s">
        <v>194</v>
      </c>
      <c r="C34" s="36"/>
    </row>
    <row r="35" spans="1:3" ht="14.45" customHeight="1" x14ac:dyDescent="0.25">
      <c r="A35" s="36"/>
      <c r="B35" s="36"/>
      <c r="C35" s="36"/>
    </row>
    <row r="36" spans="1:3" ht="14.45" customHeight="1" x14ac:dyDescent="0.25">
      <c r="A36" s="36"/>
      <c r="B36" s="36"/>
      <c r="C36" s="36"/>
    </row>
    <row r="37" spans="1:3" x14ac:dyDescent="0.25">
      <c r="B37" s="90" t="s">
        <v>110</v>
      </c>
      <c r="C37" s="90"/>
    </row>
    <row r="38" spans="1:3" x14ac:dyDescent="0.25">
      <c r="B38" s="26" t="s">
        <v>110</v>
      </c>
      <c r="C38" s="27" t="s">
        <v>111</v>
      </c>
    </row>
    <row r="39" spans="1:3" x14ac:dyDescent="0.25">
      <c r="A39" t="s">
        <v>0</v>
      </c>
      <c r="B39" s="34">
        <f>IF(B34="Oui",12%,11%)</f>
        <v>0.12</v>
      </c>
      <c r="C39" s="28"/>
    </row>
    <row r="40" spans="1:3" x14ac:dyDescent="0.25">
      <c r="A40" t="s">
        <v>1</v>
      </c>
      <c r="B40" s="34">
        <v>0.1</v>
      </c>
      <c r="C40" s="28"/>
    </row>
    <row r="41" spans="1:3" x14ac:dyDescent="0.25">
      <c r="A41" t="s">
        <v>2</v>
      </c>
      <c r="B41" s="34">
        <f>IF($B$34="Oui",11%,0%)</f>
        <v>0.11</v>
      </c>
      <c r="C41" s="28"/>
    </row>
    <row r="42" spans="1:3" x14ac:dyDescent="0.25">
      <c r="A42" t="s">
        <v>3</v>
      </c>
      <c r="B42" s="34">
        <f t="shared" ref="B42:B46" si="0">IF($B$34="Oui",11%,0%)</f>
        <v>0.11</v>
      </c>
      <c r="C42" s="28"/>
    </row>
    <row r="43" spans="1:3" x14ac:dyDescent="0.25">
      <c r="A43" t="s">
        <v>189</v>
      </c>
      <c r="B43" s="34">
        <f t="shared" si="0"/>
        <v>0.11</v>
      </c>
      <c r="C43" s="28"/>
    </row>
    <row r="44" spans="1:3" x14ac:dyDescent="0.25">
      <c r="A44" t="s">
        <v>190</v>
      </c>
      <c r="B44" s="34">
        <f t="shared" si="0"/>
        <v>0.11</v>
      </c>
      <c r="C44" s="28"/>
    </row>
    <row r="45" spans="1:3" x14ac:dyDescent="0.25">
      <c r="A45" t="s">
        <v>146</v>
      </c>
      <c r="B45" s="34">
        <f t="shared" si="0"/>
        <v>0.11</v>
      </c>
      <c r="C45" s="28"/>
    </row>
    <row r="46" spans="1:3" x14ac:dyDescent="0.25">
      <c r="A46" t="s">
        <v>191</v>
      </c>
      <c r="B46" s="34">
        <f t="shared" si="0"/>
        <v>0.11</v>
      </c>
      <c r="C46" s="28"/>
    </row>
    <row r="48" spans="1:3" x14ac:dyDescent="0.25">
      <c r="B48" s="90" t="s">
        <v>113</v>
      </c>
      <c r="C48" s="90"/>
    </row>
    <row r="49" spans="1:3" x14ac:dyDescent="0.25">
      <c r="B49" s="26" t="s">
        <v>113</v>
      </c>
      <c r="C49" s="27" t="s">
        <v>115</v>
      </c>
    </row>
    <row r="50" spans="1:3" x14ac:dyDescent="0.25">
      <c r="A50" t="s">
        <v>114</v>
      </c>
      <c r="B50">
        <f>IF(B34="Oui",50,0)</f>
        <v>50</v>
      </c>
      <c r="C50" s="28"/>
    </row>
    <row r="51" spans="1:3" x14ac:dyDescent="0.25">
      <c r="A51" t="s">
        <v>149</v>
      </c>
      <c r="B51">
        <f>ROUND((985/1000)/0.46,2)</f>
        <v>2.14</v>
      </c>
      <c r="C51" s="28"/>
    </row>
    <row r="53" spans="1:3" ht="47.1" customHeight="1" x14ac:dyDescent="0.25">
      <c r="A53" s="89" t="s">
        <v>112</v>
      </c>
      <c r="B53" s="89"/>
      <c r="C53" s="89"/>
    </row>
    <row r="55" spans="1:3" x14ac:dyDescent="0.25">
      <c r="A55" s="10" t="s">
        <v>179</v>
      </c>
      <c r="B55" s="11"/>
      <c r="C55" s="11"/>
    </row>
    <row r="56" spans="1:3" ht="87" customHeight="1" x14ac:dyDescent="0.25">
      <c r="A56" s="88" t="s">
        <v>211</v>
      </c>
      <c r="B56" s="88"/>
      <c r="C56" s="88"/>
    </row>
    <row r="57" spans="1:3" x14ac:dyDescent="0.25">
      <c r="B57" s="90" t="s">
        <v>116</v>
      </c>
      <c r="C57" s="90"/>
    </row>
    <row r="58" spans="1:3" x14ac:dyDescent="0.25">
      <c r="B58" s="26" t="s">
        <v>117</v>
      </c>
      <c r="C58" s="27" t="s">
        <v>118</v>
      </c>
    </row>
    <row r="59" spans="1:3" x14ac:dyDescent="0.25">
      <c r="A59" t="s">
        <v>200</v>
      </c>
      <c r="B59" s="34">
        <v>0</v>
      </c>
      <c r="C59" s="28"/>
    </row>
    <row r="60" spans="1:3" x14ac:dyDescent="0.25">
      <c r="A60" t="s">
        <v>199</v>
      </c>
      <c r="B60" s="34">
        <v>0.5</v>
      </c>
      <c r="C60" s="28"/>
    </row>
    <row r="61" spans="1:3" x14ac:dyDescent="0.25">
      <c r="A61" t="s">
        <v>198</v>
      </c>
      <c r="B61" s="34">
        <v>1</v>
      </c>
      <c r="C61" s="28"/>
    </row>
    <row r="63" spans="1:3" x14ac:dyDescent="0.25">
      <c r="A63" s="10" t="s">
        <v>175</v>
      </c>
      <c r="B63" s="11"/>
      <c r="C63" s="11"/>
    </row>
    <row r="64" spans="1:3" ht="43.5" customHeight="1" x14ac:dyDescent="0.25">
      <c r="A64" s="92" t="s">
        <v>180</v>
      </c>
      <c r="B64" s="92"/>
      <c r="C64" s="92"/>
    </row>
    <row r="65" spans="2:3" x14ac:dyDescent="0.25">
      <c r="B65" s="90" t="s">
        <v>176</v>
      </c>
      <c r="C65" s="90"/>
    </row>
    <row r="66" spans="2:3" x14ac:dyDescent="0.25">
      <c r="B66" s="26" t="s">
        <v>176</v>
      </c>
      <c r="C66" s="27" t="s">
        <v>177</v>
      </c>
    </row>
    <row r="67" spans="2:3" x14ac:dyDescent="0.25">
      <c r="B67" s="58">
        <v>0</v>
      </c>
      <c r="C67" s="59"/>
    </row>
  </sheetData>
  <mergeCells count="12">
    <mergeCell ref="A64:C64"/>
    <mergeCell ref="B65:C65"/>
    <mergeCell ref="A53:C53"/>
    <mergeCell ref="B48:C48"/>
    <mergeCell ref="A56:C56"/>
    <mergeCell ref="B57:C57"/>
    <mergeCell ref="B37:C37"/>
    <mergeCell ref="B6:C6"/>
    <mergeCell ref="A5:C5"/>
    <mergeCell ref="A18:C18"/>
    <mergeCell ref="B19:C19"/>
    <mergeCell ref="A31:C31"/>
  </mergeCells>
  <dataValidations count="1">
    <dataValidation type="list" allowBlank="1" showInputMessage="1" showErrorMessage="1" sqref="B34" xr:uid="{23656E4D-5E82-4179-ABC2-34A18AEBA6BE}">
      <formula1>"Oui, Non"</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7F11C-0202-44A0-AA99-0B02328B7BB6}">
  <dimension ref="A1:E12"/>
  <sheetViews>
    <sheetView zoomScaleNormal="100" workbookViewId="0">
      <selection activeCell="A3" sqref="A3"/>
    </sheetView>
  </sheetViews>
  <sheetFormatPr baseColWidth="10" defaultColWidth="10.85546875" defaultRowHeight="15" x14ac:dyDescent="0.25"/>
  <cols>
    <col min="2" max="2" width="16.5703125" customWidth="1"/>
    <col min="3" max="3" width="41.85546875" customWidth="1"/>
    <col min="4" max="4" width="59" customWidth="1"/>
    <col min="5" max="5" width="50.5703125" customWidth="1"/>
  </cols>
  <sheetData>
    <row r="1" spans="1:5" x14ac:dyDescent="0.25">
      <c r="A1" s="90" t="s">
        <v>132</v>
      </c>
      <c r="B1" s="90"/>
      <c r="C1" s="90"/>
      <c r="D1" s="90"/>
      <c r="E1" s="90"/>
    </row>
    <row r="2" spans="1:5" x14ac:dyDescent="0.25">
      <c r="A2" s="1" t="s">
        <v>89</v>
      </c>
      <c r="B2" s="1" t="s">
        <v>90</v>
      </c>
      <c r="C2" s="1" t="s">
        <v>94</v>
      </c>
      <c r="D2" s="1" t="s">
        <v>91</v>
      </c>
      <c r="E2" s="1" t="s">
        <v>92</v>
      </c>
    </row>
    <row r="3" spans="1:5" ht="165" x14ac:dyDescent="0.25">
      <c r="A3" s="31">
        <v>2015</v>
      </c>
      <c r="B3" s="31" t="s">
        <v>93</v>
      </c>
      <c r="C3" s="32" t="s">
        <v>157</v>
      </c>
      <c r="D3" s="32" t="s">
        <v>158</v>
      </c>
      <c r="E3" s="32" t="s">
        <v>156</v>
      </c>
    </row>
    <row r="4" spans="1:5" ht="105" x14ac:dyDescent="0.25">
      <c r="A4" s="31">
        <v>2013</v>
      </c>
      <c r="B4" s="31" t="s">
        <v>93</v>
      </c>
      <c r="C4" s="32" t="s">
        <v>95</v>
      </c>
      <c r="D4" s="32" t="s">
        <v>96</v>
      </c>
      <c r="E4" s="93" t="s">
        <v>106</v>
      </c>
    </row>
    <row r="5" spans="1:5" ht="75" x14ac:dyDescent="0.25">
      <c r="A5" s="31">
        <v>2009</v>
      </c>
      <c r="B5" s="31" t="s">
        <v>97</v>
      </c>
      <c r="C5" s="32" t="s">
        <v>98</v>
      </c>
      <c r="D5" s="32" t="s">
        <v>99</v>
      </c>
      <c r="E5" s="93"/>
    </row>
    <row r="6" spans="1:5" ht="90" x14ac:dyDescent="0.25">
      <c r="A6" s="31">
        <v>2011</v>
      </c>
      <c r="B6" s="32" t="s">
        <v>100</v>
      </c>
      <c r="C6" s="32" t="s">
        <v>101</v>
      </c>
      <c r="D6" s="32" t="s">
        <v>102</v>
      </c>
      <c r="E6" s="93"/>
    </row>
    <row r="7" spans="1:5" ht="60" x14ac:dyDescent="0.25">
      <c r="A7" s="31">
        <v>2014</v>
      </c>
      <c r="B7" s="31" t="s">
        <v>103</v>
      </c>
      <c r="C7" s="32" t="s">
        <v>104</v>
      </c>
      <c r="D7" s="32" t="s">
        <v>105</v>
      </c>
      <c r="E7" s="93"/>
    </row>
    <row r="10" spans="1:5" x14ac:dyDescent="0.25">
      <c r="A10" s="90" t="s">
        <v>133</v>
      </c>
      <c r="B10" s="90"/>
      <c r="C10" s="90"/>
      <c r="D10" s="90"/>
      <c r="E10" s="90"/>
    </row>
    <row r="11" spans="1:5" x14ac:dyDescent="0.25">
      <c r="A11" s="1" t="s">
        <v>89</v>
      </c>
      <c r="B11" s="1" t="s">
        <v>90</v>
      </c>
      <c r="C11" s="1" t="s">
        <v>133</v>
      </c>
      <c r="D11" s="1" t="s">
        <v>91</v>
      </c>
      <c r="E11" s="1" t="s">
        <v>92</v>
      </c>
    </row>
    <row r="12" spans="1:5" ht="90" x14ac:dyDescent="0.25">
      <c r="A12" s="31">
        <v>2022</v>
      </c>
      <c r="B12" s="31" t="s">
        <v>131</v>
      </c>
      <c r="C12" s="32" t="s">
        <v>135</v>
      </c>
      <c r="D12" s="32" t="s">
        <v>134</v>
      </c>
      <c r="E12" s="32" t="s">
        <v>136</v>
      </c>
    </row>
  </sheetData>
  <mergeCells count="3">
    <mergeCell ref="E4:E7"/>
    <mergeCell ref="A1:E1"/>
    <mergeCell ref="A10:E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73F05-F423-4741-B36F-24CC537B879C}">
  <sheetPr>
    <tabColor theme="5" tint="0.79998168889431442"/>
  </sheetPr>
  <dimension ref="A1:H56"/>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63</v>
      </c>
      <c r="F1" s="2"/>
      <c r="G1" s="2" t="s">
        <v>63</v>
      </c>
    </row>
    <row r="2" spans="1:8" ht="15.75" x14ac:dyDescent="0.25">
      <c r="E2" s="63" t="s">
        <v>7</v>
      </c>
      <c r="F2" s="14"/>
      <c r="G2" s="64" t="s">
        <v>48</v>
      </c>
    </row>
    <row r="3" spans="1:8" ht="15.75" x14ac:dyDescent="0.25">
      <c r="A3" s="65" t="s">
        <v>12</v>
      </c>
      <c r="B3" s="11"/>
      <c r="C3" s="11"/>
      <c r="D3" s="11"/>
      <c r="E3" s="11"/>
      <c r="F3" s="11"/>
      <c r="G3" s="11"/>
    </row>
    <row r="4" spans="1:8" x14ac:dyDescent="0.25">
      <c r="A4" t="s">
        <v>73</v>
      </c>
      <c r="E4" s="3">
        <f>Saisies!B8*Saisies!B21</f>
        <v>3716.9</v>
      </c>
      <c r="F4" s="3"/>
      <c r="G4" s="3">
        <f>IF(Saisies!C8="",Saisies!B8,Saisies!C8)*IF(Saisies!C21="",Saisies!B21,Saisies!C21)</f>
        <v>3716.9</v>
      </c>
      <c r="H4" t="str">
        <f>IF(G4="","",IF(OR(G4&gt;E4*(1+0.5),G4&lt;E4*(1-0.5)),"La valeur saisie diffère grandement des coûts utilisés dans le modèle. Assurez-vous qu'il ne s'agit pas d'une erreur de saisie",""))</f>
        <v/>
      </c>
    </row>
    <row r="5" spans="1:8" x14ac:dyDescent="0.25">
      <c r="A5" t="s">
        <v>11</v>
      </c>
      <c r="E5" s="3">
        <f>IF(ASRA_Calculs!$B$2&lt;ASRA_Calculs!$C$2,(ASRA_Calculs!$C$2-ASRA_Calculs!$B$2)*ASRA_Calculs!$D$2,0)</f>
        <v>0</v>
      </c>
      <c r="F5" s="3"/>
      <c r="G5" s="3">
        <f>IF(ASRA_Calculs!$B$2&lt;ASRA_Calculs!$C$2,(ASRA_Calculs!$C$2-ASRA_Calculs!$B$2)*ASRA_Calculs!$D$2,0)</f>
        <v>0</v>
      </c>
      <c r="H5" t="str">
        <f t="shared" ref="H5:H8" si="0">IF(G5="","",IF(OR(G5&gt;E5*(1+0.5),G5&lt;E5*(1-0.5)),"La valeur saisie diffère grandement des coûts utilisés dans le modèle. Assurez-vous qu'il ne s'agit pas d'une erreur de saisie",""))</f>
        <v/>
      </c>
    </row>
    <row r="6" spans="1:8" x14ac:dyDescent="0.25">
      <c r="A6" t="s">
        <v>38</v>
      </c>
      <c r="E6" s="3">
        <v>4.21</v>
      </c>
      <c r="F6" s="3"/>
      <c r="G6" s="5"/>
      <c r="H6" t="str">
        <f t="shared" si="0"/>
        <v/>
      </c>
    </row>
    <row r="7" spans="1:8" outlineLevel="1" x14ac:dyDescent="0.25">
      <c r="A7" s="37" t="s">
        <v>178</v>
      </c>
      <c r="E7" s="3">
        <f>(E4-E15)*0.042</f>
        <v>143.66310000000001</v>
      </c>
      <c r="F7" s="3"/>
      <c r="G7" s="3">
        <f>(G4-G15)*0.042</f>
        <v>156.10980000000001</v>
      </c>
      <c r="H7" t="str">
        <f t="shared" si="0"/>
        <v/>
      </c>
    </row>
    <row r="8" spans="1:8" outlineLevel="1" x14ac:dyDescent="0.25">
      <c r="A8" s="37" t="s">
        <v>39</v>
      </c>
      <c r="E8" s="3">
        <v>0</v>
      </c>
      <c r="F8" s="3"/>
      <c r="G8" s="5"/>
      <c r="H8" t="str">
        <f t="shared" si="0"/>
        <v/>
      </c>
    </row>
    <row r="9" spans="1:8" x14ac:dyDescent="0.25">
      <c r="A9" s="1" t="s">
        <v>39</v>
      </c>
      <c r="E9" s="4">
        <f>SUM(E7:E8)</f>
        <v>143.66310000000001</v>
      </c>
      <c r="F9" s="3"/>
      <c r="G9" s="55">
        <f>SUM(G7:G8)</f>
        <v>156.10980000000001</v>
      </c>
    </row>
    <row r="10" spans="1:8" x14ac:dyDescent="0.25">
      <c r="E10" s="3"/>
      <c r="F10" s="3"/>
      <c r="G10" s="3"/>
    </row>
    <row r="11" spans="1:8" x14ac:dyDescent="0.25">
      <c r="A11" s="1" t="s">
        <v>13</v>
      </c>
      <c r="E11" s="6">
        <f>SUM(E4:E9)</f>
        <v>4008.4362000000006</v>
      </c>
      <c r="F11" s="4"/>
      <c r="G11" s="6">
        <f>SUM(G4:G9)</f>
        <v>4029.1196000000004</v>
      </c>
    </row>
    <row r="12" spans="1:8" x14ac:dyDescent="0.25">
      <c r="E12" s="3"/>
      <c r="F12" s="3"/>
      <c r="G12" s="3"/>
    </row>
    <row r="13" spans="1:8" x14ac:dyDescent="0.25">
      <c r="E13" s="3"/>
      <c r="F13" s="3"/>
      <c r="G13" s="3"/>
    </row>
    <row r="14" spans="1:8" ht="15.75" x14ac:dyDescent="0.25">
      <c r="A14" s="65" t="s">
        <v>14</v>
      </c>
      <c r="B14" s="11"/>
      <c r="C14" s="11"/>
      <c r="D14" s="11"/>
      <c r="E14" s="11"/>
      <c r="F14" s="11"/>
      <c r="G14" s="11"/>
    </row>
    <row r="15" spans="1:8" outlineLevel="1" x14ac:dyDescent="0.25">
      <c r="A15" s="37" t="s">
        <v>109</v>
      </c>
      <c r="E15" s="3">
        <v>296.35000000000002</v>
      </c>
      <c r="F15" s="3"/>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399.03</v>
      </c>
      <c r="F16" s="3"/>
      <c r="G16" s="5"/>
      <c r="H16" t="str">
        <f t="shared" si="1"/>
        <v/>
      </c>
    </row>
    <row r="17" spans="1:8" outlineLevel="1" x14ac:dyDescent="0.25">
      <c r="A17" s="37" t="s">
        <v>16</v>
      </c>
      <c r="E17" s="3">
        <v>7.31</v>
      </c>
      <c r="F17" s="3"/>
      <c r="G17" s="5"/>
      <c r="H17" t="str">
        <f t="shared" si="1"/>
        <v/>
      </c>
    </row>
    <row r="18" spans="1:8" outlineLevel="1" x14ac:dyDescent="0.25">
      <c r="A18" s="37" t="s">
        <v>17</v>
      </c>
      <c r="E18" s="3">
        <v>60.69</v>
      </c>
      <c r="F18" s="3"/>
      <c r="G18" s="5"/>
      <c r="H18" t="str">
        <f t="shared" si="1"/>
        <v/>
      </c>
    </row>
    <row r="19" spans="1:8" x14ac:dyDescent="0.25">
      <c r="A19" s="1" t="s">
        <v>151</v>
      </c>
      <c r="E19" s="4">
        <f>SUM(E15:E18)</f>
        <v>763.37999999999988</v>
      </c>
      <c r="F19" s="3"/>
      <c r="G19" s="53">
        <f>SUM(G15:G18)</f>
        <v>0</v>
      </c>
    </row>
    <row r="20" spans="1:8" outlineLevel="1" x14ac:dyDescent="0.25">
      <c r="A20" s="37" t="s">
        <v>18</v>
      </c>
      <c r="E20" s="3">
        <v>7.12</v>
      </c>
      <c r="F20" s="3"/>
      <c r="G20" s="5"/>
      <c r="H20" t="str">
        <f t="shared" si="1"/>
        <v/>
      </c>
    </row>
    <row r="21" spans="1:8" outlineLevel="1" x14ac:dyDescent="0.25">
      <c r="A21" s="37" t="s">
        <v>19</v>
      </c>
      <c r="E21" s="3">
        <v>125.6</v>
      </c>
      <c r="F21" s="3"/>
      <c r="G21" s="5"/>
      <c r="H21" t="str">
        <f t="shared" si="1"/>
        <v/>
      </c>
    </row>
    <row r="22" spans="1:8" outlineLevel="1" x14ac:dyDescent="0.25">
      <c r="A22" s="37" t="s">
        <v>20</v>
      </c>
      <c r="E22" s="3">
        <v>79.930000000000007</v>
      </c>
      <c r="F22" s="3"/>
      <c r="G22" s="5"/>
      <c r="H22" t="str">
        <f t="shared" si="1"/>
        <v/>
      </c>
    </row>
    <row r="23" spans="1:8" outlineLevel="1" x14ac:dyDescent="0.25">
      <c r="A23" s="37" t="s">
        <v>21</v>
      </c>
      <c r="E23" s="3">
        <v>94.32</v>
      </c>
      <c r="F23" s="3"/>
      <c r="G23" s="5"/>
      <c r="H23" t="str">
        <f t="shared" si="1"/>
        <v/>
      </c>
    </row>
    <row r="24" spans="1:8" outlineLevel="1" x14ac:dyDescent="0.25">
      <c r="A24" s="37" t="s">
        <v>22</v>
      </c>
      <c r="E24" s="3">
        <v>119.87</v>
      </c>
      <c r="F24" s="3"/>
      <c r="G24" s="5"/>
      <c r="H24" t="str">
        <f t="shared" si="1"/>
        <v/>
      </c>
    </row>
    <row r="25" spans="1:8" outlineLevel="1" x14ac:dyDescent="0.25">
      <c r="A25" s="37" t="s">
        <v>23</v>
      </c>
      <c r="E25" s="3">
        <v>92.68</v>
      </c>
      <c r="F25" s="3"/>
      <c r="G25" s="5"/>
      <c r="H25" t="str">
        <f t="shared" si="1"/>
        <v/>
      </c>
    </row>
    <row r="26" spans="1:8" outlineLevel="1" x14ac:dyDescent="0.25">
      <c r="A26" s="37" t="s">
        <v>24</v>
      </c>
      <c r="D26">
        <f>240.09/10.9</f>
        <v>22.026605504587156</v>
      </c>
      <c r="E26" s="3">
        <f>240.09</f>
        <v>240.09</v>
      </c>
      <c r="F26" s="3"/>
      <c r="G26" s="5"/>
      <c r="H26" t="str">
        <f t="shared" si="1"/>
        <v/>
      </c>
    </row>
    <row r="27" spans="1:8" x14ac:dyDescent="0.25">
      <c r="A27" s="1" t="s">
        <v>154</v>
      </c>
      <c r="E27" s="4">
        <f>SUM(E20:E26)</f>
        <v>759.61</v>
      </c>
      <c r="F27" s="3"/>
      <c r="G27" s="53">
        <f>SUM(G20:G26)</f>
        <v>0</v>
      </c>
    </row>
    <row r="28" spans="1:8" outlineLevel="1" x14ac:dyDescent="0.25">
      <c r="A28" s="37" t="s">
        <v>25</v>
      </c>
      <c r="E28" s="3">
        <v>9.36</v>
      </c>
      <c r="F28" s="3"/>
      <c r="G28" s="5"/>
      <c r="H28" t="str">
        <f t="shared" si="1"/>
        <v/>
      </c>
    </row>
    <row r="29" spans="1:8" outlineLevel="1" x14ac:dyDescent="0.25">
      <c r="A29" s="37" t="s">
        <v>26</v>
      </c>
      <c r="D29">
        <f>19.61/10.9</f>
        <v>1.7990825688073393</v>
      </c>
      <c r="E29" s="3">
        <f>19.61/10.9*Saisies!B8</f>
        <v>19.61</v>
      </c>
      <c r="F29" s="3"/>
      <c r="G29" s="5"/>
      <c r="H29" t="str">
        <f t="shared" si="1"/>
        <v/>
      </c>
    </row>
    <row r="30" spans="1:8" outlineLevel="1" x14ac:dyDescent="0.25">
      <c r="A30" s="37" t="s">
        <v>27</v>
      </c>
      <c r="E30" s="3">
        <v>9.24</v>
      </c>
      <c r="F30" s="3"/>
      <c r="G30" s="8"/>
      <c r="H30" t="str">
        <f t="shared" si="1"/>
        <v/>
      </c>
    </row>
    <row r="31" spans="1:8" x14ac:dyDescent="0.25">
      <c r="A31" s="1" t="s">
        <v>155</v>
      </c>
      <c r="E31" s="4">
        <f>SUM(E28:E30)</f>
        <v>38.21</v>
      </c>
      <c r="F31" s="3"/>
      <c r="G31" s="54">
        <f>SUM(G28:G30)</f>
        <v>0</v>
      </c>
    </row>
    <row r="32" spans="1:8" x14ac:dyDescent="0.25">
      <c r="B32" s="1" t="s">
        <v>28</v>
      </c>
      <c r="E32" s="6">
        <f>E19+E27+E31</f>
        <v>1561.1999999999998</v>
      </c>
      <c r="F32" s="4"/>
      <c r="G32" s="6">
        <f>G19+G27+G31</f>
        <v>0</v>
      </c>
    </row>
    <row r="33" spans="1:8" x14ac:dyDescent="0.25">
      <c r="E33" s="3"/>
      <c r="F33" s="3"/>
      <c r="G33" s="3"/>
      <c r="H33" t="str">
        <f t="shared" si="1"/>
        <v/>
      </c>
    </row>
    <row r="34" spans="1:8" x14ac:dyDescent="0.25">
      <c r="A34" t="s">
        <v>29</v>
      </c>
      <c r="E34" s="3">
        <v>0</v>
      </c>
      <c r="F34" s="3"/>
      <c r="G34" s="5"/>
      <c r="H34" t="str">
        <f t="shared" si="1"/>
        <v/>
      </c>
    </row>
    <row r="35" spans="1:8" x14ac:dyDescent="0.25">
      <c r="A35" t="s">
        <v>30</v>
      </c>
      <c r="E35" s="3">
        <v>8.44</v>
      </c>
      <c r="F35" s="3"/>
      <c r="G35" s="5"/>
      <c r="H35" t="str">
        <f t="shared" si="1"/>
        <v/>
      </c>
    </row>
    <row r="36" spans="1:8" x14ac:dyDescent="0.25">
      <c r="E36" s="3"/>
      <c r="F36" s="3"/>
      <c r="G36" s="3"/>
    </row>
    <row r="37" spans="1:8" ht="27.6" customHeight="1" x14ac:dyDescent="0.25">
      <c r="A37" s="94" t="s">
        <v>65</v>
      </c>
      <c r="B37" s="94"/>
      <c r="C37" s="94"/>
      <c r="D37" s="33"/>
      <c r="E37" s="6">
        <f>E11-(E32+SUM(E34:E35))</f>
        <v>2438.7962000000007</v>
      </c>
      <c r="F37" s="4"/>
      <c r="G37" s="6">
        <f>G11-(G32+SUM(G34:G35))</f>
        <v>4029.1196000000004</v>
      </c>
    </row>
    <row r="38" spans="1:8" x14ac:dyDescent="0.25">
      <c r="E38" s="3"/>
      <c r="F38" s="3"/>
      <c r="G38" s="3"/>
    </row>
    <row r="39" spans="1:8" ht="15.75" x14ac:dyDescent="0.25">
      <c r="A39" s="65" t="s">
        <v>31</v>
      </c>
      <c r="B39" s="11"/>
      <c r="C39" s="11"/>
      <c r="D39" s="11"/>
      <c r="E39" s="11"/>
      <c r="F39" s="11"/>
      <c r="G39" s="11"/>
    </row>
    <row r="40" spans="1:8" x14ac:dyDescent="0.25">
      <c r="A40" t="s">
        <v>32</v>
      </c>
      <c r="E40" s="3">
        <v>29.65</v>
      </c>
      <c r="F40" s="3"/>
      <c r="G40" s="5"/>
      <c r="H40" t="str">
        <f t="shared" ref="H40:H44" si="2">IF(G40="","",IF(OR(G40&gt;E40*(1+0.5),G40&lt;E40*(1-0.5)),"La valeur saisie diffère grandement des coûts utilisés dans le modèle. Assurez-vous qu'il ne s'agit pas d'une erreur de saisie",""))</f>
        <v/>
      </c>
    </row>
    <row r="41" spans="1:8" x14ac:dyDescent="0.25">
      <c r="A41" t="s">
        <v>34</v>
      </c>
      <c r="E41" s="3">
        <v>51.08</v>
      </c>
      <c r="F41" s="3"/>
      <c r="G41" s="5"/>
      <c r="H41" t="str">
        <f t="shared" si="2"/>
        <v/>
      </c>
    </row>
    <row r="42" spans="1:8" x14ac:dyDescent="0.25">
      <c r="A42" t="s">
        <v>35</v>
      </c>
      <c r="E42" s="3">
        <v>33.29</v>
      </c>
      <c r="F42" s="3"/>
      <c r="G42" s="5"/>
      <c r="H42" t="str">
        <f t="shared" si="2"/>
        <v/>
      </c>
    </row>
    <row r="43" spans="1:8" x14ac:dyDescent="0.25">
      <c r="A43" t="s">
        <v>36</v>
      </c>
      <c r="E43" s="3">
        <v>86.13</v>
      </c>
      <c r="F43" s="3"/>
      <c r="G43" s="5"/>
      <c r="H43" t="str">
        <f t="shared" si="2"/>
        <v/>
      </c>
    </row>
    <row r="44" spans="1:8" x14ac:dyDescent="0.25">
      <c r="A44" t="s">
        <v>37</v>
      </c>
      <c r="E44" s="3">
        <v>47.46</v>
      </c>
      <c r="F44" s="3"/>
      <c r="G44" s="8"/>
      <c r="H44" t="str">
        <f t="shared" si="2"/>
        <v/>
      </c>
    </row>
    <row r="45" spans="1:8" x14ac:dyDescent="0.25">
      <c r="B45" s="1" t="s">
        <v>28</v>
      </c>
      <c r="E45" s="6">
        <f>SUM(E40:E44)</f>
        <v>247.60999999999999</v>
      </c>
      <c r="F45" s="4"/>
      <c r="G45" s="6">
        <f>SUM(G40:G44)</f>
        <v>0</v>
      </c>
    </row>
    <row r="46" spans="1:8" x14ac:dyDescent="0.25">
      <c r="E46" s="3"/>
      <c r="F46" s="3"/>
      <c r="G46" s="3"/>
    </row>
    <row r="47" spans="1:8" ht="28.35" customHeight="1" x14ac:dyDescent="0.25">
      <c r="A47" s="94" t="s">
        <v>64</v>
      </c>
      <c r="B47" s="94"/>
      <c r="C47" s="94"/>
      <c r="D47" s="33"/>
      <c r="E47" s="6">
        <f>E37-E45</f>
        <v>2191.1862000000006</v>
      </c>
      <c r="F47" s="4"/>
      <c r="G47" s="6">
        <f>G37-G45</f>
        <v>4029.1196000000004</v>
      </c>
    </row>
    <row r="48" spans="1:8" x14ac:dyDescent="0.25">
      <c r="E48" s="3"/>
      <c r="F48" s="3"/>
      <c r="G48" s="3"/>
    </row>
    <row r="49" spans="1:8" ht="15.75" x14ac:dyDescent="0.25">
      <c r="A49" s="65" t="s">
        <v>195</v>
      </c>
      <c r="B49" s="11"/>
      <c r="C49" s="11"/>
      <c r="D49" s="11"/>
      <c r="E49" s="11"/>
      <c r="F49" s="11"/>
      <c r="G49" s="11"/>
    </row>
    <row r="50" spans="1:8" x14ac:dyDescent="0.25">
      <c r="A50" t="s">
        <v>41</v>
      </c>
      <c r="E50" s="3">
        <v>257.36</v>
      </c>
      <c r="F50" s="3"/>
      <c r="G50" s="5"/>
      <c r="H50" t="str">
        <f t="shared" ref="H50:H52" si="3">IF(G50="","",IF(OR(G50&gt;E50*(1+0.5),G50&lt;E50*(1-0.5)),"La valeur saisie diffère grandement des coûts utilisés dans le modèle. Assurez-vous qu'il ne s'agit pas d'une erreur de saisie",""))</f>
        <v/>
      </c>
    </row>
    <row r="51" spans="1:8" x14ac:dyDescent="0.25">
      <c r="A51" t="s">
        <v>42</v>
      </c>
      <c r="E51" s="3">
        <v>171.29</v>
      </c>
      <c r="F51" s="3"/>
      <c r="G51" s="5"/>
      <c r="H51" t="str">
        <f t="shared" si="3"/>
        <v/>
      </c>
    </row>
    <row r="52" spans="1:8" x14ac:dyDescent="0.25">
      <c r="A52" t="s">
        <v>43</v>
      </c>
      <c r="E52" s="3">
        <v>149.86000000000001</v>
      </c>
      <c r="F52" s="3"/>
      <c r="G52" s="5"/>
      <c r="H52" t="str">
        <f t="shared" si="3"/>
        <v/>
      </c>
    </row>
    <row r="53" spans="1:8" x14ac:dyDescent="0.25">
      <c r="B53" s="1" t="s">
        <v>28</v>
      </c>
      <c r="E53" s="4">
        <f>SUM(E50:E52)</f>
        <v>578.51</v>
      </c>
      <c r="F53" s="4"/>
      <c r="G53" s="4">
        <f>SUM(G50:G52)</f>
        <v>0</v>
      </c>
    </row>
    <row r="54" spans="1:8" x14ac:dyDescent="0.25">
      <c r="E54" s="3"/>
      <c r="F54" s="3"/>
      <c r="G54" s="3"/>
    </row>
    <row r="55" spans="1:8" ht="48" customHeight="1" thickBot="1" x14ac:dyDescent="0.3">
      <c r="A55" s="94" t="s">
        <v>184</v>
      </c>
      <c r="B55" s="94"/>
      <c r="C55" s="94"/>
      <c r="D55" s="33"/>
      <c r="E55" s="9">
        <f>E47-E53</f>
        <v>1612.6762000000006</v>
      </c>
      <c r="F55" s="4"/>
      <c r="G55" s="9">
        <f>G47-G53</f>
        <v>4029.1196000000004</v>
      </c>
    </row>
    <row r="56" spans="1:8" ht="15.75" thickTop="1" x14ac:dyDescent="0.25"/>
  </sheetData>
  <dataConsolidate/>
  <mergeCells count="3">
    <mergeCell ref="A37:C37"/>
    <mergeCell ref="A47:C47"/>
    <mergeCell ref="A55:C55"/>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3B1D-66C1-46F9-9645-3128E6CBE909}">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63</v>
      </c>
      <c r="F1" s="2"/>
      <c r="G1" s="2" t="s">
        <v>63</v>
      </c>
    </row>
    <row r="2" spans="1:8" ht="15.75" x14ac:dyDescent="0.25">
      <c r="E2" s="66" t="s">
        <v>7</v>
      </c>
      <c r="F2" s="14"/>
      <c r="G2" s="64" t="s">
        <v>48</v>
      </c>
    </row>
    <row r="3" spans="1:8" ht="15.75" x14ac:dyDescent="0.25">
      <c r="A3" s="65" t="s">
        <v>12</v>
      </c>
      <c r="B3" s="11"/>
      <c r="C3" s="11"/>
      <c r="D3" s="11"/>
      <c r="E3" s="11"/>
      <c r="F3" s="11"/>
      <c r="G3" s="11"/>
    </row>
    <row r="4" spans="1:8" x14ac:dyDescent="0.25">
      <c r="A4" t="s">
        <v>73</v>
      </c>
      <c r="E4" s="3">
        <f>Saisies!B9*Saisies!B22</f>
        <v>2262</v>
      </c>
      <c r="F4" s="3"/>
      <c r="G4" s="3">
        <f>IF(Saisies!C9="",Saisies!B9,Saisies!C9)*IF(Saisies!C22="",Saisies!B22,Saisies!C22)</f>
        <v>2262</v>
      </c>
      <c r="H4" t="str">
        <f>IF(G4="","",IF(OR(G4&gt;E4*(1+0.5),G4&lt;E4*(1-0.5)),"La valeur saisie diffère grandement des coûts utilisés dans le modèle. Assurez-vous qu'il ne s'agit pas d'une erreur de saisie",""))</f>
        <v/>
      </c>
    </row>
    <row r="5" spans="1:8" x14ac:dyDescent="0.25">
      <c r="A5" t="s">
        <v>11</v>
      </c>
      <c r="E5" s="3">
        <f>IF(ASRA_Calculs!$B$3&lt;ASRA_Calculs!$C$3,(ASRA_Calculs!$C$3-ASRA_Calculs!$B$3)*ASRA_Calculs!$D$3,0)</f>
        <v>0</v>
      </c>
      <c r="F5" s="3"/>
      <c r="G5" s="3">
        <f>IF(ASRA_Calculs!$B$3&lt;ASRA_Calculs!$C$3,(ASRA_Calculs!$C$3-ASRA_Calculs!$B$3)*ASRA_Calculs!$D$3,0)</f>
        <v>0</v>
      </c>
      <c r="H5" t="str">
        <f t="shared" ref="H5:H8" si="0">IF(G5="","",IF(OR(G5&gt;E5*(1+0.5),G5&lt;E5*(1-0.5)),"La valeur saisie diffère grandement des coûts utilisés dans le modèle. Assurez-vous qu'il ne s'agit pas d'une erreur de saisie",""))</f>
        <v/>
      </c>
    </row>
    <row r="6" spans="1:8" x14ac:dyDescent="0.25">
      <c r="A6" t="s">
        <v>38</v>
      </c>
      <c r="E6" s="3">
        <v>53.32</v>
      </c>
      <c r="F6" s="3"/>
      <c r="G6" s="5"/>
      <c r="H6" t="str">
        <f t="shared" si="0"/>
        <v/>
      </c>
    </row>
    <row r="7" spans="1:8" outlineLevel="1" x14ac:dyDescent="0.25">
      <c r="A7" s="37" t="s">
        <v>178</v>
      </c>
      <c r="E7" s="3">
        <f>(E4-E15)*0.042</f>
        <v>86.932440000000014</v>
      </c>
      <c r="F7" s="3"/>
      <c r="G7" s="3">
        <f>(G4-G15)*0.042</f>
        <v>95.004000000000005</v>
      </c>
      <c r="H7" t="str">
        <f t="shared" si="0"/>
        <v/>
      </c>
    </row>
    <row r="8" spans="1:8" outlineLevel="1" x14ac:dyDescent="0.25">
      <c r="A8" s="37" t="s">
        <v>39</v>
      </c>
      <c r="E8" s="3">
        <v>0</v>
      </c>
      <c r="F8" s="3"/>
      <c r="G8" s="5"/>
      <c r="H8" t="str">
        <f t="shared" si="0"/>
        <v/>
      </c>
    </row>
    <row r="9" spans="1:8" x14ac:dyDescent="0.25">
      <c r="A9" s="1" t="s">
        <v>39</v>
      </c>
      <c r="E9" s="4">
        <f>E7+E8</f>
        <v>86.932440000000014</v>
      </c>
      <c r="F9" s="3"/>
      <c r="G9" s="55">
        <f>SUM(G7:G8)</f>
        <v>95.004000000000005</v>
      </c>
    </row>
    <row r="10" spans="1:8" x14ac:dyDescent="0.25">
      <c r="E10" s="3"/>
      <c r="F10" s="3"/>
      <c r="G10" s="3"/>
    </row>
    <row r="11" spans="1:8" x14ac:dyDescent="0.25">
      <c r="A11" s="1" t="s">
        <v>13</v>
      </c>
      <c r="E11" s="6">
        <f>SUM(E4:E9)</f>
        <v>2489.1848800000002</v>
      </c>
      <c r="F11" s="4"/>
      <c r="G11" s="6">
        <f>SUM(G4:G9)</f>
        <v>2452.0079999999998</v>
      </c>
    </row>
    <row r="12" spans="1:8" x14ac:dyDescent="0.25">
      <c r="E12" s="3"/>
      <c r="F12" s="3"/>
      <c r="G12" s="3"/>
    </row>
    <row r="13" spans="1:8" x14ac:dyDescent="0.25">
      <c r="E13" s="3"/>
      <c r="F13" s="3"/>
      <c r="G13" s="3"/>
    </row>
    <row r="14" spans="1:8" ht="15.75" x14ac:dyDescent="0.25">
      <c r="A14" s="65" t="s">
        <v>14</v>
      </c>
      <c r="B14" s="11"/>
      <c r="C14" s="11"/>
      <c r="D14" s="11"/>
      <c r="E14" s="11"/>
      <c r="F14" s="11"/>
      <c r="G14" s="11"/>
    </row>
    <row r="15" spans="1:8" outlineLevel="1" x14ac:dyDescent="0.25">
      <c r="A15" s="37" t="s">
        <v>109</v>
      </c>
      <c r="E15" s="3">
        <v>192.18</v>
      </c>
      <c r="F15" s="3"/>
      <c r="G15" s="5"/>
      <c r="H15" t="str">
        <f t="shared" ref="H15:H52" si="1">IF(G15="","",IF(OR(G15&gt;E15*(1+0.5),G15&lt;E15*(1-0.5)),"La valeur saisie diffère grandement des coûts utilisés dans le modèle. Assurez-vous qu'il ne s'agit pas d'une erreur de saisie",""))</f>
        <v/>
      </c>
    </row>
    <row r="16" spans="1:8" outlineLevel="1" x14ac:dyDescent="0.25">
      <c r="A16" s="37" t="s">
        <v>15</v>
      </c>
      <c r="E16" s="3">
        <v>47.68</v>
      </c>
      <c r="F16" s="3"/>
      <c r="G16" s="5"/>
      <c r="H16" t="str">
        <f t="shared" si="1"/>
        <v/>
      </c>
    </row>
    <row r="17" spans="1:8" outlineLevel="1" x14ac:dyDescent="0.25">
      <c r="A17" s="37" t="s">
        <v>16</v>
      </c>
      <c r="E17" s="3">
        <v>2.69</v>
      </c>
      <c r="F17" s="3"/>
      <c r="G17" s="5"/>
      <c r="H17" t="str">
        <f t="shared" si="1"/>
        <v/>
      </c>
    </row>
    <row r="18" spans="1:8" outlineLevel="1" x14ac:dyDescent="0.25">
      <c r="A18" s="37" t="s">
        <v>17</v>
      </c>
      <c r="E18" s="3">
        <v>93.36</v>
      </c>
      <c r="F18" s="3"/>
      <c r="G18" s="5"/>
      <c r="H18" t="str">
        <f t="shared" si="1"/>
        <v/>
      </c>
    </row>
    <row r="19" spans="1:8" x14ac:dyDescent="0.25">
      <c r="A19" s="1" t="s">
        <v>151</v>
      </c>
      <c r="E19" s="4">
        <f>SUM(E15:E18)</f>
        <v>335.91</v>
      </c>
      <c r="F19" s="3"/>
      <c r="G19" s="53">
        <f>SUM(G15:G18)</f>
        <v>0</v>
      </c>
    </row>
    <row r="20" spans="1:8" outlineLevel="1" x14ac:dyDescent="0.25">
      <c r="A20" s="37" t="s">
        <v>18</v>
      </c>
      <c r="E20" s="3">
        <v>10.63</v>
      </c>
      <c r="F20" s="3"/>
      <c r="G20" s="5"/>
      <c r="H20" t="str">
        <f t="shared" si="1"/>
        <v/>
      </c>
    </row>
    <row r="21" spans="1:8" outlineLevel="1" x14ac:dyDescent="0.25">
      <c r="A21" s="37" t="s">
        <v>19</v>
      </c>
      <c r="E21" s="3">
        <v>125.62</v>
      </c>
      <c r="F21" s="3"/>
      <c r="G21" s="5"/>
      <c r="H21" t="str">
        <f t="shared" si="1"/>
        <v/>
      </c>
    </row>
    <row r="22" spans="1:8" outlineLevel="1" x14ac:dyDescent="0.25">
      <c r="A22" s="37" t="s">
        <v>20</v>
      </c>
      <c r="E22" s="3">
        <v>39.549999999999997</v>
      </c>
      <c r="F22" s="3"/>
      <c r="G22" s="5"/>
      <c r="H22" t="str">
        <f t="shared" si="1"/>
        <v/>
      </c>
    </row>
    <row r="23" spans="1:8" outlineLevel="1" x14ac:dyDescent="0.25">
      <c r="A23" s="37" t="s">
        <v>21</v>
      </c>
      <c r="E23" s="3">
        <v>74.709999999999994</v>
      </c>
      <c r="F23" s="3"/>
      <c r="G23" s="5"/>
      <c r="H23" t="str">
        <f t="shared" si="1"/>
        <v/>
      </c>
    </row>
    <row r="24" spans="1:8" outlineLevel="1" x14ac:dyDescent="0.25">
      <c r="A24" s="37" t="s">
        <v>22</v>
      </c>
      <c r="E24" s="3">
        <v>92.87</v>
      </c>
      <c r="F24" s="3"/>
      <c r="G24" s="5"/>
      <c r="H24" t="str">
        <f t="shared" si="1"/>
        <v/>
      </c>
    </row>
    <row r="25" spans="1:8" outlineLevel="1" x14ac:dyDescent="0.25">
      <c r="A25" s="37" t="s">
        <v>23</v>
      </c>
      <c r="E25" s="3">
        <v>77.680000000000007</v>
      </c>
      <c r="F25" s="3"/>
      <c r="G25" s="5"/>
      <c r="H25" t="str">
        <f t="shared" si="1"/>
        <v/>
      </c>
    </row>
    <row r="26" spans="1:8" outlineLevel="1" x14ac:dyDescent="0.25">
      <c r="A26" s="37" t="s">
        <v>24</v>
      </c>
      <c r="D26">
        <f>0.2/3.9</f>
        <v>5.1282051282051287E-2</v>
      </c>
      <c r="E26" s="3">
        <v>0.2</v>
      </c>
      <c r="F26" s="3"/>
      <c r="G26" s="5"/>
      <c r="H26" t="str">
        <f t="shared" si="1"/>
        <v/>
      </c>
    </row>
    <row r="27" spans="1:8" x14ac:dyDescent="0.25">
      <c r="A27" s="1" t="s">
        <v>154</v>
      </c>
      <c r="E27" s="4">
        <f>SUM(E20:E26)</f>
        <v>421.26</v>
      </c>
      <c r="F27" s="3"/>
      <c r="G27" s="53">
        <f>SUM(G20:G26)</f>
        <v>0</v>
      </c>
    </row>
    <row r="28" spans="1:8" outlineLevel="1" x14ac:dyDescent="0.25">
      <c r="A28" s="37" t="s">
        <v>25</v>
      </c>
      <c r="E28" s="3">
        <v>5.13</v>
      </c>
      <c r="F28" s="3"/>
      <c r="G28" s="5"/>
      <c r="H28" t="str">
        <f t="shared" si="1"/>
        <v/>
      </c>
    </row>
    <row r="29" spans="1:8" outlineLevel="1" x14ac:dyDescent="0.25">
      <c r="A29" s="37" t="s">
        <v>26</v>
      </c>
      <c r="D29">
        <f>14.1/3.9</f>
        <v>3.6153846153846154</v>
      </c>
      <c r="E29" s="3">
        <v>14.1</v>
      </c>
      <c r="F29" s="3"/>
      <c r="G29" s="5"/>
      <c r="H29" t="str">
        <f t="shared" si="1"/>
        <v/>
      </c>
    </row>
    <row r="30" spans="1:8" outlineLevel="1" x14ac:dyDescent="0.25">
      <c r="A30" s="37" t="s">
        <v>27</v>
      </c>
      <c r="E30" s="3">
        <v>6.55</v>
      </c>
      <c r="F30" s="3"/>
      <c r="G30" s="8"/>
      <c r="H30" t="str">
        <f t="shared" si="1"/>
        <v/>
      </c>
    </row>
    <row r="31" spans="1:8" x14ac:dyDescent="0.25">
      <c r="A31" s="1" t="s">
        <v>155</v>
      </c>
      <c r="E31" s="4">
        <f>SUM(E28:E30)</f>
        <v>25.78</v>
      </c>
      <c r="F31" s="3"/>
      <c r="G31" s="54">
        <f>SUM(G28:G30)</f>
        <v>0</v>
      </c>
    </row>
    <row r="32" spans="1:8" x14ac:dyDescent="0.25">
      <c r="B32" s="1" t="s">
        <v>28</v>
      </c>
      <c r="E32" s="6">
        <f>E19+E27+E31</f>
        <v>782.95</v>
      </c>
      <c r="F32" s="4"/>
      <c r="G32" s="6">
        <f>G31+G27+G19</f>
        <v>0</v>
      </c>
    </row>
    <row r="33" spans="1:8" x14ac:dyDescent="0.25">
      <c r="E33" s="3"/>
      <c r="F33" s="3"/>
      <c r="G33" s="3"/>
    </row>
    <row r="34" spans="1:8" x14ac:dyDescent="0.25">
      <c r="A34" t="s">
        <v>29</v>
      </c>
      <c r="E34" s="3">
        <v>0</v>
      </c>
      <c r="F34" s="3"/>
      <c r="G34" s="5"/>
    </row>
    <row r="35" spans="1:8" x14ac:dyDescent="0.25">
      <c r="A35" t="s">
        <v>30</v>
      </c>
      <c r="E35" s="3">
        <v>7.84</v>
      </c>
      <c r="F35" s="3"/>
      <c r="G35" s="5"/>
    </row>
    <row r="36" spans="1:8" x14ac:dyDescent="0.25">
      <c r="E36" s="3"/>
      <c r="F36" s="3"/>
      <c r="G36" s="3"/>
    </row>
    <row r="37" spans="1:8" ht="27.6" customHeight="1" x14ac:dyDescent="0.25">
      <c r="A37" s="94" t="s">
        <v>33</v>
      </c>
      <c r="B37" s="94"/>
      <c r="C37" s="94"/>
      <c r="D37" s="33"/>
      <c r="E37" s="6">
        <f>E11-(E32+SUM(E34:E35))</f>
        <v>1698.3948800000003</v>
      </c>
      <c r="F37" s="4"/>
      <c r="G37" s="6">
        <f>G11-(G32+SUM(G34:G35))</f>
        <v>2452.0079999999998</v>
      </c>
    </row>
    <row r="38" spans="1:8" x14ac:dyDescent="0.25">
      <c r="E38" s="3"/>
      <c r="F38" s="3"/>
      <c r="G38" s="3"/>
    </row>
    <row r="39" spans="1:8" ht="15.75" x14ac:dyDescent="0.25">
      <c r="A39" s="65" t="s">
        <v>31</v>
      </c>
      <c r="B39" s="11"/>
      <c r="C39" s="11"/>
      <c r="D39" s="11"/>
      <c r="E39" s="11"/>
      <c r="F39" s="11"/>
      <c r="G39" s="11"/>
    </row>
    <row r="40" spans="1:8" x14ac:dyDescent="0.25">
      <c r="A40" t="s">
        <v>32</v>
      </c>
      <c r="E40" s="3">
        <v>17.21</v>
      </c>
      <c r="F40" s="3"/>
      <c r="G40" s="5"/>
      <c r="H40" t="str">
        <f t="shared" si="1"/>
        <v/>
      </c>
    </row>
    <row r="41" spans="1:8" x14ac:dyDescent="0.25">
      <c r="A41" t="s">
        <v>34</v>
      </c>
      <c r="E41" s="3">
        <v>31.83</v>
      </c>
      <c r="F41" s="3"/>
      <c r="G41" s="5"/>
      <c r="H41" t="str">
        <f t="shared" si="1"/>
        <v/>
      </c>
    </row>
    <row r="42" spans="1:8" x14ac:dyDescent="0.25">
      <c r="A42" t="s">
        <v>35</v>
      </c>
      <c r="E42" s="3">
        <v>27.29</v>
      </c>
      <c r="F42" s="3"/>
      <c r="G42" s="5"/>
      <c r="H42" t="str">
        <f t="shared" si="1"/>
        <v/>
      </c>
    </row>
    <row r="43" spans="1:8" x14ac:dyDescent="0.25">
      <c r="A43" t="s">
        <v>36</v>
      </c>
      <c r="E43" s="3">
        <v>75.48</v>
      </c>
      <c r="F43" s="3"/>
      <c r="G43" s="5"/>
      <c r="H43" t="str">
        <f t="shared" si="1"/>
        <v/>
      </c>
    </row>
    <row r="44" spans="1:8" x14ac:dyDescent="0.25">
      <c r="A44" t="s">
        <v>37</v>
      </c>
      <c r="E44" s="3">
        <v>30.53</v>
      </c>
      <c r="F44" s="3"/>
      <c r="G44" s="8"/>
      <c r="H44" t="str">
        <f t="shared" si="1"/>
        <v/>
      </c>
    </row>
    <row r="45" spans="1:8" x14ac:dyDescent="0.25">
      <c r="B45" s="1" t="s">
        <v>28</v>
      </c>
      <c r="E45" s="6">
        <f>SUM(E40:E44)</f>
        <v>182.34</v>
      </c>
      <c r="F45" s="4"/>
      <c r="G45" s="6">
        <f>SUM(G40:G44)</f>
        <v>0</v>
      </c>
    </row>
    <row r="46" spans="1:8" x14ac:dyDescent="0.25">
      <c r="E46" s="3"/>
      <c r="F46" s="3"/>
      <c r="G46" s="3"/>
    </row>
    <row r="47" spans="1:8" ht="28.35" customHeight="1" x14ac:dyDescent="0.25">
      <c r="A47" s="94" t="s">
        <v>40</v>
      </c>
      <c r="B47" s="94"/>
      <c r="C47" s="94"/>
      <c r="D47" s="33"/>
      <c r="E47" s="6">
        <f>E37-E45</f>
        <v>1516.0548800000004</v>
      </c>
      <c r="F47" s="4"/>
      <c r="G47" s="6">
        <f>G37-G45</f>
        <v>2452.0079999999998</v>
      </c>
    </row>
    <row r="48" spans="1:8" x14ac:dyDescent="0.25">
      <c r="E48" s="3"/>
      <c r="F48" s="3"/>
      <c r="G48" s="3"/>
    </row>
    <row r="49" spans="1:8" ht="15.75" x14ac:dyDescent="0.25">
      <c r="A49" s="65" t="s">
        <v>195</v>
      </c>
      <c r="B49" s="11"/>
      <c r="C49" s="11"/>
      <c r="D49" s="11"/>
      <c r="E49" s="11"/>
      <c r="F49" s="11"/>
      <c r="G49" s="11"/>
    </row>
    <row r="50" spans="1:8" x14ac:dyDescent="0.25">
      <c r="A50" t="s">
        <v>41</v>
      </c>
      <c r="E50" s="3">
        <v>176.77</v>
      </c>
      <c r="F50" s="3"/>
      <c r="G50" s="5"/>
      <c r="H50" t="str">
        <f t="shared" si="1"/>
        <v/>
      </c>
    </row>
    <row r="51" spans="1:8" x14ac:dyDescent="0.25">
      <c r="A51" t="s">
        <v>42</v>
      </c>
      <c r="E51" s="3">
        <v>165.51</v>
      </c>
      <c r="F51" s="3"/>
      <c r="G51" s="5"/>
      <c r="H51" t="str">
        <f t="shared" si="1"/>
        <v/>
      </c>
    </row>
    <row r="52" spans="1:8" x14ac:dyDescent="0.25">
      <c r="A52" t="s">
        <v>43</v>
      </c>
      <c r="E52" s="3">
        <v>114.21</v>
      </c>
      <c r="F52" s="3"/>
      <c r="G52" s="5"/>
      <c r="H52" t="str">
        <f t="shared" si="1"/>
        <v/>
      </c>
    </row>
    <row r="53" spans="1:8" x14ac:dyDescent="0.25">
      <c r="B53" s="1" t="s">
        <v>28</v>
      </c>
      <c r="E53" s="4">
        <f>SUM(E50:E52)</f>
        <v>456.48999999999995</v>
      </c>
      <c r="F53" s="4"/>
      <c r="G53" s="4">
        <f>SUM(G50:G52)</f>
        <v>0</v>
      </c>
    </row>
    <row r="54" spans="1:8" x14ac:dyDescent="0.25">
      <c r="E54" s="3"/>
      <c r="F54" s="3"/>
      <c r="G54" s="3"/>
    </row>
    <row r="55" spans="1:8" ht="48" customHeight="1" thickBot="1" x14ac:dyDescent="0.3">
      <c r="A55" s="94" t="s">
        <v>185</v>
      </c>
      <c r="B55" s="94"/>
      <c r="C55" s="94"/>
      <c r="D55" s="33"/>
      <c r="E55" s="9">
        <f>E47-E53</f>
        <v>1059.5648800000004</v>
      </c>
      <c r="F55" s="4"/>
      <c r="G55" s="9">
        <f>G47-G53</f>
        <v>2452.0079999999998</v>
      </c>
    </row>
    <row r="56" spans="1:8" ht="15.75" thickTop="1" x14ac:dyDescent="0.25"/>
  </sheetData>
  <mergeCells count="3">
    <mergeCell ref="A37:C37"/>
    <mergeCell ref="A47:C47"/>
    <mergeCell ref="A55:C5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09DE-8993-4EE7-A567-AB32DA5F8E54}">
  <sheetPr>
    <tabColor theme="5" tint="0.79998168889431442"/>
  </sheetPr>
  <dimension ref="A1:H56"/>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3.140625" customWidth="1"/>
    <col min="6" max="6" width="2.5703125" customWidth="1"/>
  </cols>
  <sheetData>
    <row r="1" spans="1:8" x14ac:dyDescent="0.25">
      <c r="E1" s="2" t="s">
        <v>63</v>
      </c>
      <c r="F1" s="2"/>
      <c r="G1" s="2" t="s">
        <v>63</v>
      </c>
    </row>
    <row r="2" spans="1:8" ht="15.75" x14ac:dyDescent="0.25">
      <c r="E2" s="63" t="s">
        <v>7</v>
      </c>
      <c r="F2" s="14"/>
      <c r="G2" s="64" t="s">
        <v>49</v>
      </c>
    </row>
    <row r="3" spans="1:8" ht="15.75" x14ac:dyDescent="0.25">
      <c r="A3" s="65" t="s">
        <v>12</v>
      </c>
      <c r="B3" s="67"/>
      <c r="C3" s="67"/>
      <c r="D3" s="67"/>
      <c r="E3" s="67"/>
      <c r="F3" s="67"/>
      <c r="G3" s="67"/>
    </row>
    <row r="4" spans="1:8" x14ac:dyDescent="0.25">
      <c r="A4" t="s">
        <v>73</v>
      </c>
      <c r="E4" s="3">
        <f>Saisies!B10*Saisies!B23</f>
        <v>1045</v>
      </c>
      <c r="F4" s="3"/>
      <c r="G4" s="3">
        <f>IF(Saisies!C10="",Saisies!B10,Saisies!C10)*IF(Saisies!C23="",Saisies!B23,Saisies!C23)</f>
        <v>1045</v>
      </c>
      <c r="H4" t="str">
        <f>IF(G4="","",IF(OR(G4&gt;E4*(1+0.5),G4&lt;E4*(1-0.5)),"La valeur saisie diffère grandement des coûts utilisés dans le modèle. Assurez-vous qu'il ne s'agit pas d'une erreur de saisie",""))</f>
        <v/>
      </c>
    </row>
    <row r="5" spans="1:8" x14ac:dyDescent="0.25">
      <c r="A5" t="s">
        <v>11</v>
      </c>
      <c r="E5" s="3">
        <f>IF(ASRA_Calculs!$B$4&lt;ASRA_Calculs!$C$4,(ASRA_Calculs!$C$4-ASRA_Calculs!$B$4)*ASRA_Calculs!$D$4,0)</f>
        <v>0</v>
      </c>
      <c r="F5" s="3"/>
      <c r="G5" s="3">
        <f>IF(ASRA_Calculs!$B$4&lt;ASRA_Calculs!$C$4,(ASRA_Calculs!$C$4-ASRA_Calculs!$B$4)*ASRA_Calculs!$D$4,0)</f>
        <v>0</v>
      </c>
      <c r="H5" t="str">
        <f t="shared" ref="H5:H8" si="0">IF(G5="","",IF(OR(G5&gt;E5*(1+0.5),G5&lt;E5*(1-0.5)),"La valeur saisie diffère grandement des coûts utilisés dans le modèle. Assurez-vous qu'il ne s'agit pas d'une erreur de saisie",""))</f>
        <v/>
      </c>
    </row>
    <row r="6" spans="1:8" x14ac:dyDescent="0.25">
      <c r="A6" t="s">
        <v>148</v>
      </c>
      <c r="E6" s="3">
        <v>365.61</v>
      </c>
      <c r="F6" s="3"/>
      <c r="G6" s="5"/>
      <c r="H6" t="str">
        <f t="shared" si="0"/>
        <v/>
      </c>
    </row>
    <row r="7" spans="1:8" outlineLevel="1" x14ac:dyDescent="0.25">
      <c r="A7" s="37" t="s">
        <v>178</v>
      </c>
      <c r="E7" s="3">
        <f>(E4+E6-E15)*0.01</f>
        <v>12.266400000000001</v>
      </c>
      <c r="F7" s="3"/>
      <c r="G7" s="3">
        <f>(G4+G6-G15)*0.01</f>
        <v>10.450000000000001</v>
      </c>
      <c r="H7" t="str">
        <f t="shared" si="0"/>
        <v/>
      </c>
    </row>
    <row r="8" spans="1:8" outlineLevel="1" x14ac:dyDescent="0.25">
      <c r="A8" s="37" t="s">
        <v>39</v>
      </c>
      <c r="E8" s="3">
        <v>75.28</v>
      </c>
      <c r="F8" s="3"/>
      <c r="G8" s="5"/>
      <c r="H8" t="str">
        <f t="shared" si="0"/>
        <v/>
      </c>
    </row>
    <row r="9" spans="1:8" x14ac:dyDescent="0.25">
      <c r="A9" s="1" t="s">
        <v>39</v>
      </c>
      <c r="E9" s="4">
        <f>SUM(E7:E8)</f>
        <v>87.546400000000006</v>
      </c>
      <c r="F9" s="3"/>
      <c r="G9" s="55">
        <f>SUM(G7:G8)</f>
        <v>10.450000000000001</v>
      </c>
    </row>
    <row r="10" spans="1:8" x14ac:dyDescent="0.25">
      <c r="E10" s="3"/>
      <c r="F10" s="3"/>
      <c r="G10" s="3"/>
    </row>
    <row r="11" spans="1:8" x14ac:dyDescent="0.25">
      <c r="A11" s="1" t="s">
        <v>13</v>
      </c>
      <c r="E11" s="6">
        <f>SUM(E4:E9)</f>
        <v>1585.7028</v>
      </c>
      <c r="F11" s="4"/>
      <c r="G11" s="6">
        <f>SUM(G4:G9)</f>
        <v>1065.9000000000001</v>
      </c>
    </row>
    <row r="12" spans="1:8" x14ac:dyDescent="0.25">
      <c r="E12" s="3"/>
      <c r="F12" s="3"/>
      <c r="G12" s="3"/>
    </row>
    <row r="13" spans="1:8" x14ac:dyDescent="0.25">
      <c r="E13" s="3"/>
      <c r="F13" s="3"/>
      <c r="G13" s="3"/>
    </row>
    <row r="14" spans="1:8" ht="15.75" x14ac:dyDescent="0.25">
      <c r="A14" s="65" t="s">
        <v>14</v>
      </c>
      <c r="B14" s="67"/>
      <c r="C14" s="67"/>
      <c r="D14" s="67"/>
      <c r="E14" s="67"/>
      <c r="F14" s="67"/>
      <c r="G14" s="67"/>
    </row>
    <row r="15" spans="1:8" outlineLevel="1" x14ac:dyDescent="0.25">
      <c r="A15" s="37" t="s">
        <v>109</v>
      </c>
      <c r="E15" s="3">
        <v>183.97</v>
      </c>
      <c r="F15" s="3"/>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196.99</v>
      </c>
      <c r="F16" s="3"/>
      <c r="G16" s="5"/>
      <c r="H16" t="str">
        <f t="shared" si="1"/>
        <v/>
      </c>
    </row>
    <row r="17" spans="1:8" outlineLevel="1" x14ac:dyDescent="0.25">
      <c r="A17" s="37" t="s">
        <v>16</v>
      </c>
      <c r="E17" s="3">
        <v>6.71</v>
      </c>
      <c r="F17" s="3"/>
      <c r="G17" s="5"/>
      <c r="H17" t="str">
        <f t="shared" si="1"/>
        <v/>
      </c>
    </row>
    <row r="18" spans="1:8" outlineLevel="1" x14ac:dyDescent="0.25">
      <c r="A18" s="37" t="s">
        <v>17</v>
      </c>
      <c r="E18" s="3">
        <v>70.63</v>
      </c>
      <c r="F18" s="3"/>
      <c r="G18" s="5"/>
      <c r="H18" t="str">
        <f t="shared" si="1"/>
        <v/>
      </c>
    </row>
    <row r="19" spans="1:8" x14ac:dyDescent="0.25">
      <c r="A19" s="1" t="s">
        <v>151</v>
      </c>
      <c r="E19" s="4">
        <f>SUM(E15:E18)</f>
        <v>458.3</v>
      </c>
      <c r="F19" s="3"/>
      <c r="G19" s="53">
        <f>SUM(G15:G18)</f>
        <v>0</v>
      </c>
    </row>
    <row r="20" spans="1:8" outlineLevel="1" x14ac:dyDescent="0.25">
      <c r="A20" s="37" t="s">
        <v>18</v>
      </c>
      <c r="E20" s="3">
        <v>88.99</v>
      </c>
      <c r="F20" s="3"/>
      <c r="G20" s="5"/>
      <c r="H20" t="str">
        <f t="shared" si="1"/>
        <v/>
      </c>
    </row>
    <row r="21" spans="1:8" outlineLevel="1" x14ac:dyDescent="0.25">
      <c r="A21" s="37" t="s">
        <v>19</v>
      </c>
      <c r="E21" s="3">
        <v>147.88999999999999</v>
      </c>
      <c r="F21" s="3"/>
      <c r="G21" s="5"/>
      <c r="H21" t="str">
        <f t="shared" si="1"/>
        <v/>
      </c>
    </row>
    <row r="22" spans="1:8" outlineLevel="1" x14ac:dyDescent="0.25">
      <c r="A22" s="37" t="s">
        <v>20</v>
      </c>
      <c r="E22" s="3">
        <v>19.36</v>
      </c>
      <c r="F22" s="3"/>
      <c r="G22" s="5"/>
      <c r="H22" t="str">
        <f t="shared" si="1"/>
        <v/>
      </c>
    </row>
    <row r="23" spans="1:8" outlineLevel="1" x14ac:dyDescent="0.25">
      <c r="A23" s="37" t="s">
        <v>152</v>
      </c>
      <c r="E23" s="3">
        <v>120.36</v>
      </c>
      <c r="F23" s="3"/>
      <c r="G23" s="5"/>
      <c r="H23" t="str">
        <f t="shared" si="1"/>
        <v/>
      </c>
    </row>
    <row r="24" spans="1:8" outlineLevel="1" x14ac:dyDescent="0.25">
      <c r="A24" s="37" t="s">
        <v>22</v>
      </c>
      <c r="E24" s="3">
        <v>82.1</v>
      </c>
      <c r="F24" s="3"/>
      <c r="G24" s="5"/>
      <c r="H24" t="str">
        <f t="shared" si="1"/>
        <v/>
      </c>
    </row>
    <row r="25" spans="1:8" outlineLevel="1" x14ac:dyDescent="0.25">
      <c r="A25" s="37" t="s">
        <v>23</v>
      </c>
      <c r="E25" s="3">
        <v>80.56</v>
      </c>
      <c r="F25" s="3"/>
      <c r="G25" s="5"/>
      <c r="H25" t="str">
        <f t="shared" si="1"/>
        <v/>
      </c>
    </row>
    <row r="26" spans="1:8" outlineLevel="1" x14ac:dyDescent="0.25">
      <c r="A26" s="37" t="s">
        <v>24</v>
      </c>
      <c r="D26">
        <f>50.78/3.8</f>
        <v>13.363157894736844</v>
      </c>
      <c r="E26" s="3">
        <f>50.78/3.8*Rendements_CECPA!B5</f>
        <v>50.78</v>
      </c>
      <c r="F26" s="3"/>
      <c r="G26" s="5"/>
      <c r="H26" t="str">
        <f t="shared" si="1"/>
        <v/>
      </c>
    </row>
    <row r="27" spans="1:8" x14ac:dyDescent="0.25">
      <c r="A27" s="1" t="s">
        <v>154</v>
      </c>
      <c r="E27" s="4">
        <f>SUM(E20:E26)</f>
        <v>590.04</v>
      </c>
      <c r="F27" s="3"/>
      <c r="G27" s="53">
        <f>SUM(G20:G26)</f>
        <v>0</v>
      </c>
    </row>
    <row r="28" spans="1:8" outlineLevel="1" x14ac:dyDescent="0.25">
      <c r="A28" s="37" t="s">
        <v>25</v>
      </c>
      <c r="E28" s="3">
        <v>2.99</v>
      </c>
      <c r="F28" s="3"/>
      <c r="G28" s="5"/>
      <c r="H28" t="str">
        <f t="shared" si="1"/>
        <v/>
      </c>
    </row>
    <row r="29" spans="1:8" outlineLevel="1" x14ac:dyDescent="0.25">
      <c r="A29" s="37" t="s">
        <v>26</v>
      </c>
      <c r="D29">
        <f>58.6/3.8</f>
        <v>15.421052631578949</v>
      </c>
      <c r="E29" s="3">
        <f>58.6/3.8*Rendements_CECPA!B5</f>
        <v>58.6</v>
      </c>
      <c r="F29" s="3"/>
      <c r="G29" s="5"/>
      <c r="H29" t="str">
        <f t="shared" si="1"/>
        <v/>
      </c>
    </row>
    <row r="30" spans="1:8" outlineLevel="1" x14ac:dyDescent="0.25">
      <c r="A30" s="37" t="s">
        <v>27</v>
      </c>
      <c r="E30" s="3">
        <v>36.9</v>
      </c>
      <c r="F30" s="3"/>
      <c r="G30" s="5"/>
      <c r="H30" t="str">
        <f t="shared" si="1"/>
        <v/>
      </c>
    </row>
    <row r="31" spans="1:8" x14ac:dyDescent="0.25">
      <c r="A31" s="1" t="s">
        <v>155</v>
      </c>
      <c r="E31" s="4">
        <f>SUM(E28:E30)</f>
        <v>98.490000000000009</v>
      </c>
      <c r="F31" s="3"/>
      <c r="G31" s="4">
        <f>SUM(G28:G30)</f>
        <v>0</v>
      </c>
    </row>
    <row r="32" spans="1:8" x14ac:dyDescent="0.25">
      <c r="B32" s="1" t="s">
        <v>28</v>
      </c>
      <c r="E32" s="6">
        <f>E19+E27+E31</f>
        <v>1146.83</v>
      </c>
      <c r="F32" s="4"/>
      <c r="G32" s="6">
        <f>G19+G27+G31</f>
        <v>0</v>
      </c>
    </row>
    <row r="33" spans="1:8" x14ac:dyDescent="0.25">
      <c r="E33" s="3"/>
      <c r="F33" s="3"/>
      <c r="G33" s="3"/>
    </row>
    <row r="34" spans="1:8" x14ac:dyDescent="0.25">
      <c r="A34" t="s">
        <v>29</v>
      </c>
      <c r="E34" s="3">
        <v>49.45</v>
      </c>
      <c r="F34" s="3"/>
      <c r="G34" s="5"/>
      <c r="H34" t="str">
        <f t="shared" si="1"/>
        <v/>
      </c>
    </row>
    <row r="35" spans="1:8" x14ac:dyDescent="0.25">
      <c r="A35" t="s">
        <v>30</v>
      </c>
      <c r="E35" s="3">
        <f>0.98+1.7</f>
        <v>2.6799999999999997</v>
      </c>
      <c r="F35" s="3"/>
      <c r="G35" s="5"/>
      <c r="H35" t="str">
        <f t="shared" si="1"/>
        <v/>
      </c>
    </row>
    <row r="36" spans="1:8" x14ac:dyDescent="0.25">
      <c r="E36" s="3"/>
      <c r="F36" s="3"/>
      <c r="G36" s="3"/>
    </row>
    <row r="37" spans="1:8" ht="27.6" customHeight="1" x14ac:dyDescent="0.25">
      <c r="A37" s="94" t="s">
        <v>33</v>
      </c>
      <c r="B37" s="94"/>
      <c r="C37" s="94"/>
      <c r="D37" s="33"/>
      <c r="E37" s="6">
        <f>E11-(E32+SUM(E34:E35))</f>
        <v>386.74279999999999</v>
      </c>
      <c r="F37" s="4"/>
      <c r="G37" s="6">
        <f>G11-(G32+SUM(G34:G35))</f>
        <v>1065.9000000000001</v>
      </c>
    </row>
    <row r="38" spans="1:8" x14ac:dyDescent="0.25">
      <c r="E38" s="3"/>
      <c r="F38" s="3"/>
      <c r="G38" s="3"/>
    </row>
    <row r="39" spans="1:8" ht="15.75" x14ac:dyDescent="0.25">
      <c r="A39" s="65" t="s">
        <v>31</v>
      </c>
      <c r="B39" s="67"/>
      <c r="C39" s="67"/>
      <c r="D39" s="67"/>
      <c r="E39" s="67"/>
      <c r="F39" s="67"/>
      <c r="G39" s="67"/>
    </row>
    <row r="40" spans="1:8" x14ac:dyDescent="0.25">
      <c r="A40" t="s">
        <v>32</v>
      </c>
      <c r="E40" s="3">
        <v>30.3</v>
      </c>
      <c r="F40" s="3"/>
      <c r="G40" s="5"/>
      <c r="H40" t="str">
        <f t="shared" ref="H40:H44" si="2">IF(G40="","",IF(OR(G40&gt;E40*(1+0.5),G40&lt;E40*(1-0.5)),"La valeur saisie diffère grandement des coûts utilisés dans le modèle. Assurez-vous qu'il ne s'agit pas d'une erreur de saisie",""))</f>
        <v/>
      </c>
    </row>
    <row r="41" spans="1:8" x14ac:dyDescent="0.25">
      <c r="A41" t="s">
        <v>34</v>
      </c>
      <c r="E41" s="3">
        <v>23.5</v>
      </c>
      <c r="F41" s="3"/>
      <c r="G41" s="5"/>
      <c r="H41" t="str">
        <f t="shared" si="2"/>
        <v/>
      </c>
    </row>
    <row r="42" spans="1:8" x14ac:dyDescent="0.25">
      <c r="A42" t="s">
        <v>35</v>
      </c>
      <c r="E42" s="3">
        <v>16.84</v>
      </c>
      <c r="F42" s="3"/>
      <c r="G42" s="5"/>
      <c r="H42" t="str">
        <f t="shared" si="2"/>
        <v/>
      </c>
    </row>
    <row r="43" spans="1:8" x14ac:dyDescent="0.25">
      <c r="A43" t="s">
        <v>36</v>
      </c>
      <c r="E43" s="3">
        <v>68.2</v>
      </c>
      <c r="F43" s="3"/>
      <c r="G43" s="5"/>
      <c r="H43" t="str">
        <f t="shared" si="2"/>
        <v/>
      </c>
    </row>
    <row r="44" spans="1:8" x14ac:dyDescent="0.25">
      <c r="A44" t="s">
        <v>37</v>
      </c>
      <c r="E44" s="3">
        <v>40.28</v>
      </c>
      <c r="F44" s="3"/>
      <c r="G44" s="8"/>
      <c r="H44" t="str">
        <f t="shared" si="2"/>
        <v/>
      </c>
    </row>
    <row r="45" spans="1:8" x14ac:dyDescent="0.25">
      <c r="B45" s="1" t="s">
        <v>28</v>
      </c>
      <c r="E45" s="6">
        <f>SUM(E40:E44)</f>
        <v>179.12</v>
      </c>
      <c r="F45" s="4"/>
      <c r="G45" s="6">
        <f t="shared" ref="G45" si="3">SUM(G40:G44)</f>
        <v>0</v>
      </c>
    </row>
    <row r="46" spans="1:8" x14ac:dyDescent="0.25">
      <c r="E46" s="3"/>
      <c r="F46" s="3"/>
      <c r="G46" s="3"/>
    </row>
    <row r="47" spans="1:8" ht="28.35" customHeight="1" x14ac:dyDescent="0.25">
      <c r="A47" s="94" t="s">
        <v>40</v>
      </c>
      <c r="B47" s="94"/>
      <c r="C47" s="94"/>
      <c r="D47" s="33"/>
      <c r="E47" s="6">
        <f>E37-E45</f>
        <v>207.62279999999998</v>
      </c>
      <c r="F47" s="3"/>
      <c r="G47" s="6">
        <f>G37-G45</f>
        <v>1065.9000000000001</v>
      </c>
    </row>
    <row r="48" spans="1:8" x14ac:dyDescent="0.25">
      <c r="E48" s="3"/>
      <c r="F48" s="4"/>
      <c r="G48" s="3"/>
    </row>
    <row r="49" spans="1:8" ht="15.75" x14ac:dyDescent="0.25">
      <c r="A49" s="65" t="s">
        <v>195</v>
      </c>
      <c r="B49" s="67"/>
      <c r="C49" s="67"/>
      <c r="D49" s="67"/>
      <c r="E49" s="67"/>
      <c r="F49" s="67"/>
      <c r="G49" s="67"/>
    </row>
    <row r="50" spans="1:8" x14ac:dyDescent="0.25">
      <c r="A50" t="s">
        <v>41</v>
      </c>
      <c r="E50" s="3">
        <v>258.38</v>
      </c>
      <c r="F50" s="3"/>
      <c r="G50" s="5"/>
      <c r="H50" t="str">
        <f t="shared" ref="H50:H52" si="4">IF(G50="","",IF(OR(G50&gt;E50*(1+0.5),G50&lt;E50*(1-0.5)),"La valeur saisie diffère grandement des coûts utilisés dans le modèle. Assurez-vous qu'il ne s'agit pas d'une erreur de saisie",""))</f>
        <v/>
      </c>
    </row>
    <row r="51" spans="1:8" x14ac:dyDescent="0.25">
      <c r="A51" t="s">
        <v>42</v>
      </c>
      <c r="E51" s="3">
        <v>183.08</v>
      </c>
      <c r="F51" s="4"/>
      <c r="G51" s="5"/>
      <c r="H51" t="str">
        <f t="shared" si="4"/>
        <v/>
      </c>
    </row>
    <row r="52" spans="1:8" x14ac:dyDescent="0.25">
      <c r="A52" t="s">
        <v>43</v>
      </c>
      <c r="E52" s="3">
        <v>30.61</v>
      </c>
      <c r="G52" s="5"/>
      <c r="H52" t="str">
        <f t="shared" si="4"/>
        <v/>
      </c>
    </row>
    <row r="53" spans="1:8" x14ac:dyDescent="0.25">
      <c r="B53" s="1" t="s">
        <v>28</v>
      </c>
      <c r="E53" s="4">
        <f>SUM(E50:E52)</f>
        <v>472.07000000000005</v>
      </c>
      <c r="G53" s="4">
        <f t="shared" ref="G53" si="5">SUM(G50:G52)</f>
        <v>0</v>
      </c>
    </row>
    <row r="54" spans="1:8" x14ac:dyDescent="0.25">
      <c r="E54" s="3"/>
      <c r="G54" s="3"/>
    </row>
    <row r="55" spans="1:8" ht="48" customHeight="1" thickBot="1" x14ac:dyDescent="0.3">
      <c r="A55" s="94" t="s">
        <v>185</v>
      </c>
      <c r="B55" s="94"/>
      <c r="C55" s="94"/>
      <c r="D55" s="33"/>
      <c r="E55" s="9">
        <f>E47-E53</f>
        <v>-264.44720000000007</v>
      </c>
      <c r="G55" s="9">
        <f t="shared" ref="G55" si="6">G47-G53</f>
        <v>1065.9000000000001</v>
      </c>
    </row>
    <row r="56" spans="1:8" ht="15.75" thickTop="1" x14ac:dyDescent="0.25"/>
  </sheetData>
  <dataConsolidate/>
  <mergeCells count="3">
    <mergeCell ref="A37:C37"/>
    <mergeCell ref="A47:C47"/>
    <mergeCell ref="A55:C5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EEB2-A35C-4B40-913D-FFC484EB926E}">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6" max="6" width="2.5703125" customWidth="1"/>
  </cols>
  <sheetData>
    <row r="1" spans="1:8" x14ac:dyDescent="0.25">
      <c r="E1" s="2" t="s">
        <v>63</v>
      </c>
      <c r="F1" s="2"/>
      <c r="G1" s="2" t="s">
        <v>63</v>
      </c>
    </row>
    <row r="2" spans="1:8" ht="15.75" x14ac:dyDescent="0.25">
      <c r="E2" s="63" t="s">
        <v>7</v>
      </c>
      <c r="G2" s="64" t="s">
        <v>49</v>
      </c>
    </row>
    <row r="3" spans="1:8" ht="15.75" x14ac:dyDescent="0.25">
      <c r="A3" s="65" t="s">
        <v>12</v>
      </c>
      <c r="B3" s="11"/>
      <c r="C3" s="11"/>
      <c r="D3" s="11"/>
      <c r="E3" s="11"/>
      <c r="F3" s="11"/>
      <c r="G3" s="11"/>
    </row>
    <row r="4" spans="1:8" x14ac:dyDescent="0.25">
      <c r="A4" t="s">
        <v>73</v>
      </c>
      <c r="E4" s="3">
        <f>Saisies!B11*Saisies!B24</f>
        <v>778.4</v>
      </c>
      <c r="G4" s="3">
        <f>IF(Saisies!C11="",Saisies!B11,Saisies!C11)*IF(Saisies!C24="",Saisies!B24,Saisies!C24)</f>
        <v>778.4</v>
      </c>
      <c r="H4" t="str">
        <f t="shared" ref="H4:H8" si="0">IF(G4="","",IF(OR(G4&gt;E4*(1+0.5),G4&lt;E4*(1-0.5)),"La valeur saisie diffère grandement des coûts utilisés dans le modèle. Assurez-vous qu'il ne s'agit pas d'une erreur de saisie",""))</f>
        <v/>
      </c>
    </row>
    <row r="5" spans="1:8" x14ac:dyDescent="0.25">
      <c r="A5" t="s">
        <v>11</v>
      </c>
      <c r="E5" s="3">
        <f>IF(ASRA_Calculs!$B$5&lt;ASRA_Calculs!$C$5,(ASRA_Calculs!$C$5-ASRA_Calculs!$B$5)*ASRA_Calculs!$D$5,0)</f>
        <v>0</v>
      </c>
      <c r="G5" s="3">
        <f>IF(ASRA_Calculs!$B$5&lt;ASRA_Calculs!$C$5,(ASRA_Calculs!$C$5-ASRA_Calculs!$B$5)*ASRA_Calculs!$D$5,0)</f>
        <v>0</v>
      </c>
      <c r="H5" t="str">
        <f t="shared" si="0"/>
        <v/>
      </c>
    </row>
    <row r="6" spans="1:8" x14ac:dyDescent="0.25">
      <c r="A6" t="s">
        <v>148</v>
      </c>
      <c r="E6" s="3">
        <v>243.44</v>
      </c>
      <c r="G6" s="5"/>
      <c r="H6" t="str">
        <f t="shared" si="0"/>
        <v/>
      </c>
    </row>
    <row r="7" spans="1:8" outlineLevel="1" x14ac:dyDescent="0.25">
      <c r="A7" s="37" t="s">
        <v>178</v>
      </c>
      <c r="E7" s="3">
        <f>(E4+E6-E15)*0.01</f>
        <v>8.8414999999999981</v>
      </c>
      <c r="G7" s="3">
        <f>(G4+G6-G15)*0.01</f>
        <v>7.7839999999999998</v>
      </c>
      <c r="H7" t="str">
        <f t="shared" si="0"/>
        <v/>
      </c>
    </row>
    <row r="8" spans="1:8" outlineLevel="1" x14ac:dyDescent="0.25">
      <c r="A8" s="37" t="s">
        <v>39</v>
      </c>
      <c r="E8" s="3">
        <v>85.62</v>
      </c>
      <c r="G8" s="5"/>
      <c r="H8" t="str">
        <f t="shared" si="0"/>
        <v/>
      </c>
    </row>
    <row r="9" spans="1:8" x14ac:dyDescent="0.25">
      <c r="A9" s="1" t="s">
        <v>39</v>
      </c>
      <c r="E9" s="4">
        <f>SUM(E7:E8)</f>
        <v>94.461500000000001</v>
      </c>
      <c r="G9" s="55">
        <f>SUM(G7:G8)</f>
        <v>7.7839999999999998</v>
      </c>
    </row>
    <row r="10" spans="1:8" x14ac:dyDescent="0.25">
      <c r="E10" s="3"/>
      <c r="G10" s="3"/>
    </row>
    <row r="11" spans="1:8" x14ac:dyDescent="0.25">
      <c r="A11" s="1" t="s">
        <v>13</v>
      </c>
      <c r="E11" s="6">
        <f>SUM(E4:E9)</f>
        <v>1210.7629999999999</v>
      </c>
      <c r="G11" s="6">
        <f>SUM(G4:G9)</f>
        <v>793.96799999999996</v>
      </c>
    </row>
    <row r="12" spans="1:8" x14ac:dyDescent="0.25">
      <c r="E12" s="3"/>
      <c r="G12" s="3"/>
    </row>
    <row r="13" spans="1:8" x14ac:dyDescent="0.25">
      <c r="E13" s="3"/>
      <c r="G13" s="3"/>
    </row>
    <row r="14" spans="1:8" ht="15.75" x14ac:dyDescent="0.25">
      <c r="A14" s="65" t="s">
        <v>14</v>
      </c>
      <c r="B14" s="11"/>
      <c r="C14" s="11"/>
      <c r="D14" s="11"/>
      <c r="E14" s="11"/>
      <c r="F14" s="11"/>
      <c r="G14" s="11"/>
    </row>
    <row r="15" spans="1:8" outlineLevel="1" x14ac:dyDescent="0.25">
      <c r="A15" s="37" t="s">
        <v>109</v>
      </c>
      <c r="E15" s="3">
        <v>137.69</v>
      </c>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143.22999999999999</v>
      </c>
      <c r="G16" s="5"/>
      <c r="H16" t="str">
        <f t="shared" si="1"/>
        <v/>
      </c>
    </row>
    <row r="17" spans="1:8" outlineLevel="1" x14ac:dyDescent="0.25">
      <c r="A17" s="37" t="s">
        <v>16</v>
      </c>
      <c r="E17" s="3">
        <v>9.83</v>
      </c>
      <c r="G17" s="5"/>
      <c r="H17" t="str">
        <f t="shared" si="1"/>
        <v/>
      </c>
    </row>
    <row r="18" spans="1:8" outlineLevel="1" x14ac:dyDescent="0.25">
      <c r="A18" s="37" t="s">
        <v>17</v>
      </c>
      <c r="E18" s="3">
        <v>32.659999999999997</v>
      </c>
      <c r="G18" s="8"/>
      <c r="H18" t="str">
        <f t="shared" si="1"/>
        <v/>
      </c>
    </row>
    <row r="19" spans="1:8" x14ac:dyDescent="0.25">
      <c r="A19" s="1" t="s">
        <v>151</v>
      </c>
      <c r="E19" s="4">
        <f>SUM(E15:E18)</f>
        <v>323.40999999999997</v>
      </c>
      <c r="G19" s="53">
        <f>SUM(G15:G18)</f>
        <v>0</v>
      </c>
    </row>
    <row r="20" spans="1:8" outlineLevel="1" x14ac:dyDescent="0.25">
      <c r="A20" s="37" t="s">
        <v>18</v>
      </c>
      <c r="E20" s="3">
        <v>51.82</v>
      </c>
      <c r="G20" s="5"/>
      <c r="H20" t="str">
        <f t="shared" si="1"/>
        <v/>
      </c>
    </row>
    <row r="21" spans="1:8" outlineLevel="1" x14ac:dyDescent="0.25">
      <c r="A21" s="37" t="s">
        <v>19</v>
      </c>
      <c r="E21" s="3">
        <v>64.040000000000006</v>
      </c>
      <c r="G21" s="5"/>
      <c r="H21" t="str">
        <f t="shared" si="1"/>
        <v/>
      </c>
    </row>
    <row r="22" spans="1:8" outlineLevel="1" x14ac:dyDescent="0.25">
      <c r="A22" s="37" t="s">
        <v>20</v>
      </c>
      <c r="E22" s="3">
        <v>31.06</v>
      </c>
      <c r="G22" s="5"/>
      <c r="H22" t="str">
        <f t="shared" si="1"/>
        <v/>
      </c>
    </row>
    <row r="23" spans="1:8" outlineLevel="1" x14ac:dyDescent="0.25">
      <c r="A23" s="37" t="s">
        <v>21</v>
      </c>
      <c r="E23" s="3">
        <v>90.63</v>
      </c>
      <c r="G23" s="5"/>
      <c r="H23" t="str">
        <f t="shared" si="1"/>
        <v/>
      </c>
    </row>
    <row r="24" spans="1:8" outlineLevel="1" x14ac:dyDescent="0.25">
      <c r="A24" s="37" t="s">
        <v>22</v>
      </c>
      <c r="E24" s="3">
        <v>99.24</v>
      </c>
      <c r="G24" s="5"/>
      <c r="H24" t="str">
        <f t="shared" si="1"/>
        <v/>
      </c>
    </row>
    <row r="25" spans="1:8" outlineLevel="1" x14ac:dyDescent="0.25">
      <c r="A25" s="37" t="s">
        <v>23</v>
      </c>
      <c r="E25" s="3">
        <v>74.069999999999993</v>
      </c>
      <c r="G25" s="5"/>
      <c r="H25" t="str">
        <f t="shared" si="1"/>
        <v/>
      </c>
    </row>
    <row r="26" spans="1:8" outlineLevel="1" x14ac:dyDescent="0.25">
      <c r="A26" s="37" t="s">
        <v>24</v>
      </c>
      <c r="D26">
        <f>22.21/2.8</f>
        <v>7.9321428571428578</v>
      </c>
      <c r="E26" s="3">
        <f>22.21/2.8*Saisies!B11</f>
        <v>22.21</v>
      </c>
      <c r="G26" s="8"/>
      <c r="H26" t="str">
        <f t="shared" si="1"/>
        <v/>
      </c>
    </row>
    <row r="27" spans="1:8" x14ac:dyDescent="0.25">
      <c r="A27" s="1" t="s">
        <v>154</v>
      </c>
      <c r="E27" s="4">
        <f>SUM(E20:E26)</f>
        <v>433.07</v>
      </c>
      <c r="G27" s="53">
        <f>SUM(G20:G26)</f>
        <v>0</v>
      </c>
    </row>
    <row r="28" spans="1:8" outlineLevel="1" x14ac:dyDescent="0.25">
      <c r="A28" s="37" t="s">
        <v>25</v>
      </c>
      <c r="E28" s="3">
        <v>6.82</v>
      </c>
      <c r="G28" s="5"/>
      <c r="H28" t="str">
        <f t="shared" si="1"/>
        <v/>
      </c>
    </row>
    <row r="29" spans="1:8" outlineLevel="1" x14ac:dyDescent="0.25">
      <c r="A29" s="37" t="s">
        <v>26</v>
      </c>
      <c r="D29">
        <f>30.28/2.8</f>
        <v>10.814285714285715</v>
      </c>
      <c r="E29" s="3">
        <f>30.28/2.8*Saisies!B11</f>
        <v>30.28</v>
      </c>
      <c r="G29" s="5"/>
      <c r="H29" t="str">
        <f t="shared" si="1"/>
        <v/>
      </c>
    </row>
    <row r="30" spans="1:8" outlineLevel="1" x14ac:dyDescent="0.25">
      <c r="A30" s="37" t="s">
        <v>27</v>
      </c>
      <c r="E30" s="3">
        <v>19.25</v>
      </c>
      <c r="G30" s="8"/>
      <c r="H30" t="str">
        <f t="shared" si="1"/>
        <v/>
      </c>
    </row>
    <row r="31" spans="1:8" x14ac:dyDescent="0.25">
      <c r="A31" s="1" t="s">
        <v>155</v>
      </c>
      <c r="E31" s="4">
        <f>SUM(E28:E30)</f>
        <v>56.35</v>
      </c>
      <c r="G31" s="55">
        <f>SUM(G28:G30)</f>
        <v>0</v>
      </c>
    </row>
    <row r="32" spans="1:8" x14ac:dyDescent="0.25">
      <c r="B32" s="1" t="s">
        <v>28</v>
      </c>
      <c r="E32" s="6">
        <f>E19+E27+E31</f>
        <v>812.83</v>
      </c>
      <c r="G32" s="6">
        <f>G19+G27+G31</f>
        <v>0</v>
      </c>
    </row>
    <row r="33" spans="1:8" x14ac:dyDescent="0.25">
      <c r="E33" s="3"/>
      <c r="G33" s="3"/>
    </row>
    <row r="34" spans="1:8" x14ac:dyDescent="0.25">
      <c r="A34" t="s">
        <v>29</v>
      </c>
      <c r="E34" s="3">
        <v>70.709999999999994</v>
      </c>
      <c r="G34" s="5"/>
      <c r="H34" t="str">
        <f t="shared" si="1"/>
        <v/>
      </c>
    </row>
    <row r="35" spans="1:8" x14ac:dyDescent="0.25">
      <c r="A35" t="s">
        <v>30</v>
      </c>
      <c r="E35" s="3">
        <v>3.44</v>
      </c>
      <c r="G35" s="5"/>
      <c r="H35" t="str">
        <f t="shared" si="1"/>
        <v/>
      </c>
    </row>
    <row r="36" spans="1:8" x14ac:dyDescent="0.25">
      <c r="E36" s="3"/>
      <c r="G36" s="3"/>
    </row>
    <row r="37" spans="1:8" ht="27.6" customHeight="1" x14ac:dyDescent="0.25">
      <c r="A37" s="94" t="s">
        <v>33</v>
      </c>
      <c r="B37" s="94"/>
      <c r="C37" s="94"/>
      <c r="D37" s="33"/>
      <c r="E37" s="6">
        <f>E11-(E32+SUM(E34:E35))</f>
        <v>323.7829999999999</v>
      </c>
      <c r="G37" s="6">
        <f t="shared" ref="G37" si="2">G11-(G32+SUM(G34:G35))</f>
        <v>793.96799999999996</v>
      </c>
    </row>
    <row r="38" spans="1:8" x14ac:dyDescent="0.25">
      <c r="E38" s="3"/>
      <c r="G38" s="3"/>
    </row>
    <row r="39" spans="1:8" ht="15.75" x14ac:dyDescent="0.25">
      <c r="A39" s="65" t="s">
        <v>31</v>
      </c>
      <c r="B39" s="11"/>
      <c r="C39" s="11"/>
      <c r="D39" s="11"/>
      <c r="E39" s="11"/>
      <c r="F39" s="11"/>
      <c r="G39" s="11"/>
    </row>
    <row r="40" spans="1:8" x14ac:dyDescent="0.25">
      <c r="A40" t="s">
        <v>32</v>
      </c>
      <c r="E40" s="3">
        <v>18.39</v>
      </c>
      <c r="G40" s="5"/>
      <c r="H40" t="str">
        <f t="shared" ref="H40:H44" si="3">IF(G40="","",IF(OR(G40&gt;E40*(1+0.5),G40&lt;E40*(1-0.5)),"La valeur saisie diffère grandement des coûts utilisés dans le modèle. Assurez-vous qu'il ne s'agit pas d'une erreur de saisie",""))</f>
        <v/>
      </c>
    </row>
    <row r="41" spans="1:8" x14ac:dyDescent="0.25">
      <c r="A41" t="s">
        <v>34</v>
      </c>
      <c r="E41" s="3">
        <v>26.26</v>
      </c>
      <c r="G41" s="5"/>
      <c r="H41" t="str">
        <f t="shared" si="3"/>
        <v/>
      </c>
    </row>
    <row r="42" spans="1:8" x14ac:dyDescent="0.25">
      <c r="A42" t="s">
        <v>35</v>
      </c>
      <c r="E42" s="3">
        <v>17.66</v>
      </c>
      <c r="G42" s="5"/>
      <c r="H42" t="str">
        <f t="shared" si="3"/>
        <v/>
      </c>
    </row>
    <row r="43" spans="1:8" x14ac:dyDescent="0.25">
      <c r="A43" t="s">
        <v>36</v>
      </c>
      <c r="E43" s="3">
        <v>75.34</v>
      </c>
      <c r="G43" s="5"/>
      <c r="H43" t="str">
        <f t="shared" si="3"/>
        <v/>
      </c>
    </row>
    <row r="44" spans="1:8" x14ac:dyDescent="0.25">
      <c r="A44" t="s">
        <v>37</v>
      </c>
      <c r="E44" s="3">
        <v>32.119999999999997</v>
      </c>
      <c r="G44" s="8"/>
      <c r="H44" t="str">
        <f t="shared" si="3"/>
        <v/>
      </c>
    </row>
    <row r="45" spans="1:8" x14ac:dyDescent="0.25">
      <c r="B45" s="1" t="s">
        <v>28</v>
      </c>
      <c r="E45" s="6">
        <f>SUM(E40:E44)</f>
        <v>169.77</v>
      </c>
      <c r="G45" s="6">
        <f t="shared" ref="G45" si="4">SUM(G40:G44)</f>
        <v>0</v>
      </c>
    </row>
    <row r="46" spans="1:8" x14ac:dyDescent="0.25">
      <c r="E46" s="3"/>
      <c r="G46" s="3"/>
    </row>
    <row r="47" spans="1:8" ht="28.35" customHeight="1" x14ac:dyDescent="0.25">
      <c r="A47" s="94" t="s">
        <v>40</v>
      </c>
      <c r="B47" s="94"/>
      <c r="C47" s="94"/>
      <c r="D47" s="33"/>
      <c r="E47" s="6">
        <f>E37-E45</f>
        <v>154.01299999999989</v>
      </c>
      <c r="G47" s="6">
        <f>G37-G45</f>
        <v>793.96799999999996</v>
      </c>
    </row>
    <row r="48" spans="1:8" x14ac:dyDescent="0.25">
      <c r="E48" s="3"/>
      <c r="G48" s="3"/>
    </row>
    <row r="49" spans="1:8" ht="15.75" x14ac:dyDescent="0.25">
      <c r="A49" s="65" t="s">
        <v>195</v>
      </c>
      <c r="B49" s="11"/>
      <c r="C49" s="11"/>
      <c r="D49" s="11"/>
      <c r="E49" s="11"/>
      <c r="F49" s="11"/>
      <c r="G49" s="11"/>
    </row>
    <row r="50" spans="1:8" x14ac:dyDescent="0.25">
      <c r="A50" t="s">
        <v>41</v>
      </c>
      <c r="E50" s="3">
        <v>187.49</v>
      </c>
      <c r="G50" s="5"/>
      <c r="H50" t="str">
        <f t="shared" ref="H50:H52" si="5">IF(G50="","",IF(OR(G50&gt;E50*(1+0.5),G50&lt;E50*(1-0.5)),"La valeur saisie diffère grandement des coûts utilisés dans le modèle. Assurez-vous qu'il ne s'agit pas d'une erreur de saisie",""))</f>
        <v/>
      </c>
    </row>
    <row r="51" spans="1:8" x14ac:dyDescent="0.25">
      <c r="A51" t="s">
        <v>42</v>
      </c>
      <c r="E51" s="3">
        <v>148.4</v>
      </c>
      <c r="G51" s="5"/>
      <c r="H51" t="str">
        <f t="shared" si="5"/>
        <v/>
      </c>
    </row>
    <row r="52" spans="1:8" x14ac:dyDescent="0.25">
      <c r="A52" t="s">
        <v>43</v>
      </c>
      <c r="E52" s="3">
        <v>47.27</v>
      </c>
      <c r="G52" s="5"/>
      <c r="H52" t="str">
        <f t="shared" si="5"/>
        <v/>
      </c>
    </row>
    <row r="53" spans="1:8" x14ac:dyDescent="0.25">
      <c r="B53" s="1" t="s">
        <v>28</v>
      </c>
      <c r="E53" s="4">
        <f>SUM(E50:E52)</f>
        <v>383.15999999999997</v>
      </c>
      <c r="G53" s="4">
        <f t="shared" ref="G53" si="6">SUM(G50:G52)</f>
        <v>0</v>
      </c>
    </row>
    <row r="54" spans="1:8" x14ac:dyDescent="0.25">
      <c r="E54" s="3"/>
      <c r="G54" s="3"/>
    </row>
    <row r="55" spans="1:8" ht="48" customHeight="1" thickBot="1" x14ac:dyDescent="0.3">
      <c r="A55" s="94" t="s">
        <v>185</v>
      </c>
      <c r="B55" s="94"/>
      <c r="C55" s="94"/>
      <c r="D55" s="33"/>
      <c r="E55" s="9">
        <f>E47-E53</f>
        <v>-229.14700000000008</v>
      </c>
      <c r="G55" s="9">
        <f t="shared" ref="G55" si="7">G47-G53</f>
        <v>793.96799999999996</v>
      </c>
    </row>
    <row r="56" spans="1:8" ht="15.75" thickTop="1" x14ac:dyDescent="0.25"/>
  </sheetData>
  <mergeCells count="3">
    <mergeCell ref="A37:C37"/>
    <mergeCell ref="A47:C47"/>
    <mergeCell ref="A55:C5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ECD1C-E77D-45EA-83B4-74583739926F}">
  <sheetPr>
    <tabColor theme="5" tint="0.79998168889431442"/>
  </sheetPr>
  <dimension ref="A1:J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63</v>
      </c>
      <c r="F1" s="2"/>
      <c r="G1" s="2" t="s">
        <v>63</v>
      </c>
    </row>
    <row r="2" spans="1:8" ht="15.75" x14ac:dyDescent="0.25">
      <c r="E2" s="63" t="s">
        <v>7</v>
      </c>
      <c r="G2" s="64" t="s">
        <v>49</v>
      </c>
    </row>
    <row r="3" spans="1:8" ht="15.75" x14ac:dyDescent="0.25">
      <c r="A3" s="65" t="s">
        <v>12</v>
      </c>
      <c r="B3" s="11"/>
      <c r="C3" s="11"/>
      <c r="D3" s="11"/>
      <c r="E3" s="11"/>
      <c r="F3" s="11"/>
      <c r="G3" s="11"/>
    </row>
    <row r="4" spans="1:8" x14ac:dyDescent="0.25">
      <c r="A4" t="s">
        <v>73</v>
      </c>
      <c r="E4" s="3">
        <f>Saisies!B13*Saisies!B26</f>
        <v>1647</v>
      </c>
      <c r="G4" s="3">
        <f>IF(Saisies!C13="",Saisies!B13,Saisies!C13)*IF(Saisies!C26="",Saisies!B26,Saisies!C26)</f>
        <v>1647</v>
      </c>
      <c r="H4" t="str">
        <f t="shared" ref="H4:H8" si="0">IF(G4="","",IF(OR(G4&gt;E4*(1+0.5),G4&lt;E4*(1-0.5)),"La valeur saisie diffère grandement des coûts utilisés dans le modèle. Assurez-vous qu'il ne s'agit pas d'une erreur de saisie",""))</f>
        <v/>
      </c>
    </row>
    <row r="5" spans="1:8" x14ac:dyDescent="0.25">
      <c r="A5" t="s">
        <v>11</v>
      </c>
      <c r="E5" s="3">
        <f>IF(ASRA_Calculs!$B$6&lt;ASRA_Calculs!$C$6,(ASRA_Calculs!$C$6-ASRA_Calculs!$B$6)*ASRA_Calculs!$D$6,0)</f>
        <v>0</v>
      </c>
      <c r="G5" s="3">
        <f>IF(ASRA_Calculs!$B$6&lt;ASRA_Calculs!$C$6,(ASRA_Calculs!$C$6-ASRA_Calculs!$B$6)*ASRA_Calculs!$D$6,0)</f>
        <v>0</v>
      </c>
      <c r="H5" t="str">
        <f t="shared" si="0"/>
        <v/>
      </c>
    </row>
    <row r="6" spans="1:8" x14ac:dyDescent="0.25">
      <c r="A6" t="s">
        <v>148</v>
      </c>
      <c r="E6" s="3">
        <v>392.87</v>
      </c>
      <c r="G6" s="5"/>
      <c r="H6" t="str">
        <f t="shared" si="0"/>
        <v/>
      </c>
    </row>
    <row r="7" spans="1:8" outlineLevel="1" x14ac:dyDescent="0.25">
      <c r="A7" s="37" t="s">
        <v>178</v>
      </c>
      <c r="E7" s="3">
        <f>(E4+E6-E15)*0.01</f>
        <v>18.507099999999998</v>
      </c>
      <c r="G7" s="3">
        <f>(G4+G6-G15)*0.01</f>
        <v>16.47</v>
      </c>
      <c r="H7" t="str">
        <f t="shared" si="0"/>
        <v/>
      </c>
    </row>
    <row r="8" spans="1:8" outlineLevel="1" x14ac:dyDescent="0.25">
      <c r="A8" s="37" t="s">
        <v>39</v>
      </c>
      <c r="E8" s="3">
        <v>52.17</v>
      </c>
      <c r="G8" s="5"/>
      <c r="H8" t="str">
        <f t="shared" si="0"/>
        <v/>
      </c>
    </row>
    <row r="9" spans="1:8" x14ac:dyDescent="0.25">
      <c r="A9" s="1" t="s">
        <v>39</v>
      </c>
      <c r="E9" s="4">
        <f>SUM(E7:E8)</f>
        <v>70.677099999999996</v>
      </c>
      <c r="G9" s="55">
        <f>SUM(G7:G8)</f>
        <v>16.47</v>
      </c>
    </row>
    <row r="10" spans="1:8" x14ac:dyDescent="0.25">
      <c r="E10" s="3"/>
      <c r="G10" s="3"/>
    </row>
    <row r="11" spans="1:8" x14ac:dyDescent="0.25">
      <c r="A11" s="1" t="s">
        <v>13</v>
      </c>
      <c r="E11" s="6">
        <f>SUM(E4:E9)</f>
        <v>2181.2241999999997</v>
      </c>
      <c r="G11" s="6">
        <f>SUM(G4:G9)</f>
        <v>1679.94</v>
      </c>
    </row>
    <row r="12" spans="1:8" x14ac:dyDescent="0.25">
      <c r="E12" s="3"/>
      <c r="G12" s="3"/>
    </row>
    <row r="13" spans="1:8" x14ac:dyDescent="0.25">
      <c r="E13" s="3"/>
      <c r="G13" s="3"/>
    </row>
    <row r="14" spans="1:8" ht="15.75" x14ac:dyDescent="0.25">
      <c r="A14" s="65" t="s">
        <v>14</v>
      </c>
      <c r="B14" s="11"/>
      <c r="C14" s="11"/>
      <c r="D14" s="11"/>
      <c r="E14" s="11"/>
      <c r="F14" s="11"/>
      <c r="G14" s="11"/>
    </row>
    <row r="15" spans="1:8" outlineLevel="1" x14ac:dyDescent="0.25">
      <c r="A15" s="37" t="s">
        <v>109</v>
      </c>
      <c r="E15" s="3">
        <v>189.16</v>
      </c>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237.55</v>
      </c>
      <c r="G16" s="5"/>
      <c r="H16" t="str">
        <f t="shared" si="1"/>
        <v/>
      </c>
    </row>
    <row r="17" spans="1:8" outlineLevel="1" x14ac:dyDescent="0.25">
      <c r="A17" s="37" t="s">
        <v>16</v>
      </c>
      <c r="E17" s="3">
        <v>5.76</v>
      </c>
      <c r="G17" s="5"/>
      <c r="H17" t="str">
        <f t="shared" si="1"/>
        <v/>
      </c>
    </row>
    <row r="18" spans="1:8" outlineLevel="1" x14ac:dyDescent="0.25">
      <c r="A18" s="37" t="s">
        <v>17</v>
      </c>
      <c r="E18" s="3">
        <v>23.73</v>
      </c>
      <c r="G18" s="8"/>
      <c r="H18" t="str">
        <f t="shared" si="1"/>
        <v/>
      </c>
    </row>
    <row r="19" spans="1:8" x14ac:dyDescent="0.25">
      <c r="A19" s="1" t="s">
        <v>151</v>
      </c>
      <c r="E19" s="4">
        <f>SUM(E15:E18)</f>
        <v>456.20000000000005</v>
      </c>
      <c r="G19" s="53">
        <f>SUM(G15:G18)</f>
        <v>0</v>
      </c>
    </row>
    <row r="20" spans="1:8" outlineLevel="1" x14ac:dyDescent="0.25">
      <c r="A20" s="37" t="s">
        <v>18</v>
      </c>
      <c r="E20" s="3">
        <v>36.26</v>
      </c>
      <c r="G20" s="5"/>
      <c r="H20" t="str">
        <f t="shared" si="1"/>
        <v/>
      </c>
    </row>
    <row r="21" spans="1:8" outlineLevel="1" x14ac:dyDescent="0.25">
      <c r="A21" s="37" t="s">
        <v>19</v>
      </c>
      <c r="E21" s="3">
        <v>177.78</v>
      </c>
      <c r="G21" s="5"/>
      <c r="H21" t="str">
        <f t="shared" si="1"/>
        <v/>
      </c>
    </row>
    <row r="22" spans="1:8" outlineLevel="1" x14ac:dyDescent="0.25">
      <c r="A22" s="37" t="s">
        <v>20</v>
      </c>
      <c r="E22" s="3">
        <v>47.6</v>
      </c>
      <c r="G22" s="5"/>
      <c r="H22" t="str">
        <f t="shared" si="1"/>
        <v/>
      </c>
    </row>
    <row r="23" spans="1:8" outlineLevel="1" x14ac:dyDescent="0.25">
      <c r="A23" s="37" t="s">
        <v>21</v>
      </c>
      <c r="E23" s="3">
        <v>44.56</v>
      </c>
      <c r="G23" s="5"/>
      <c r="H23" t="str">
        <f t="shared" si="1"/>
        <v/>
      </c>
    </row>
    <row r="24" spans="1:8" outlineLevel="1" x14ac:dyDescent="0.25">
      <c r="A24" s="37" t="s">
        <v>22</v>
      </c>
      <c r="E24" s="3">
        <v>107.11</v>
      </c>
      <c r="G24" s="5"/>
      <c r="H24" t="str">
        <f t="shared" si="1"/>
        <v/>
      </c>
    </row>
    <row r="25" spans="1:8" outlineLevel="1" x14ac:dyDescent="0.25">
      <c r="A25" s="37" t="s">
        <v>23</v>
      </c>
      <c r="E25" s="3">
        <v>76.209999999999994</v>
      </c>
      <c r="G25" s="5"/>
      <c r="H25" t="str">
        <f t="shared" si="1"/>
        <v/>
      </c>
    </row>
    <row r="26" spans="1:8" outlineLevel="1" x14ac:dyDescent="0.25">
      <c r="A26" s="37" t="s">
        <v>24</v>
      </c>
      <c r="D26">
        <f>42.85/4.5</f>
        <v>9.5222222222222221</v>
      </c>
      <c r="E26" s="3">
        <v>42.85</v>
      </c>
      <c r="G26" s="8"/>
      <c r="H26" t="str">
        <f t="shared" si="1"/>
        <v/>
      </c>
    </row>
    <row r="27" spans="1:8" x14ac:dyDescent="0.25">
      <c r="A27" s="1" t="s">
        <v>154</v>
      </c>
      <c r="E27" s="4">
        <f>SUM(E20:E26)</f>
        <v>532.37</v>
      </c>
      <c r="G27" s="53">
        <f>SUM(G20:G26)</f>
        <v>0</v>
      </c>
    </row>
    <row r="28" spans="1:8" outlineLevel="1" x14ac:dyDescent="0.25">
      <c r="A28" s="37" t="s">
        <v>25</v>
      </c>
      <c r="E28" s="3">
        <v>3.73</v>
      </c>
      <c r="G28" s="5"/>
      <c r="H28" t="str">
        <f t="shared" si="1"/>
        <v/>
      </c>
    </row>
    <row r="29" spans="1:8" outlineLevel="1" x14ac:dyDescent="0.25">
      <c r="A29" s="37" t="s">
        <v>26</v>
      </c>
      <c r="D29">
        <f>51.96/4.5</f>
        <v>11.546666666666667</v>
      </c>
      <c r="E29" s="3">
        <v>51.96</v>
      </c>
      <c r="G29" s="5"/>
      <c r="H29" t="str">
        <f t="shared" si="1"/>
        <v/>
      </c>
    </row>
    <row r="30" spans="1:8" outlineLevel="1" x14ac:dyDescent="0.25">
      <c r="A30" s="37" t="s">
        <v>27</v>
      </c>
      <c r="E30" s="3">
        <v>29.92</v>
      </c>
      <c r="G30" s="8"/>
      <c r="H30" t="str">
        <f t="shared" si="1"/>
        <v/>
      </c>
    </row>
    <row r="31" spans="1:8" x14ac:dyDescent="0.25">
      <c r="A31" s="1" t="s">
        <v>155</v>
      </c>
      <c r="E31" s="4">
        <f>SUM(E28:E30)</f>
        <v>85.61</v>
      </c>
      <c r="G31" s="55">
        <f>SUM(G28:G30)</f>
        <v>0</v>
      </c>
    </row>
    <row r="32" spans="1:8" x14ac:dyDescent="0.25">
      <c r="B32" s="1" t="s">
        <v>28</v>
      </c>
      <c r="E32" s="6">
        <f>E19+E27+E31</f>
        <v>1074.18</v>
      </c>
      <c r="G32" s="6">
        <f>G19+G27+G31</f>
        <v>0</v>
      </c>
    </row>
    <row r="33" spans="1:8" x14ac:dyDescent="0.25">
      <c r="E33" s="3"/>
      <c r="G33" s="3"/>
    </row>
    <row r="34" spans="1:8" x14ac:dyDescent="0.25">
      <c r="A34" t="s">
        <v>29</v>
      </c>
      <c r="E34" s="3">
        <v>7.11</v>
      </c>
      <c r="G34" s="5"/>
      <c r="H34" t="str">
        <f t="shared" si="1"/>
        <v/>
      </c>
    </row>
    <row r="35" spans="1:8" x14ac:dyDescent="0.25">
      <c r="A35" t="s">
        <v>30</v>
      </c>
      <c r="E35" s="3">
        <f>33.89+1.13</f>
        <v>35.020000000000003</v>
      </c>
      <c r="G35" s="5"/>
      <c r="H35" t="str">
        <f t="shared" si="1"/>
        <v/>
      </c>
    </row>
    <row r="36" spans="1:8" x14ac:dyDescent="0.25">
      <c r="E36" s="3"/>
      <c r="G36" s="3"/>
    </row>
    <row r="37" spans="1:8" ht="27.6" customHeight="1" x14ac:dyDescent="0.25">
      <c r="A37" s="94" t="s">
        <v>33</v>
      </c>
      <c r="B37" s="94"/>
      <c r="C37" s="94"/>
      <c r="D37" s="33"/>
      <c r="E37" s="6">
        <f>E11-(E32+SUM(E34:E35))</f>
        <v>1064.9141999999995</v>
      </c>
      <c r="F37" s="33"/>
      <c r="G37" s="6">
        <f>G11-(G32+SUM(G34:G35))</f>
        <v>1679.94</v>
      </c>
    </row>
    <row r="38" spans="1:8" x14ac:dyDescent="0.25">
      <c r="E38" s="3"/>
      <c r="G38" s="3"/>
    </row>
    <row r="39" spans="1:8" ht="15.75" x14ac:dyDescent="0.25">
      <c r="A39" s="65" t="s">
        <v>31</v>
      </c>
      <c r="B39" s="11"/>
      <c r="C39" s="11"/>
      <c r="D39" s="11"/>
      <c r="E39" s="11"/>
      <c r="F39" s="11"/>
      <c r="G39" s="11"/>
    </row>
    <row r="40" spans="1:8" x14ac:dyDescent="0.25">
      <c r="A40" t="s">
        <v>32</v>
      </c>
      <c r="E40" s="3">
        <v>5.0199999999999996</v>
      </c>
      <c r="G40" s="5"/>
      <c r="H40" t="str">
        <f t="shared" ref="H40:H44" si="2">IF(G40="","",IF(OR(G40&gt;E40*(1+0.5),G40&lt;E40*(1-0.5)),"La valeur saisie diffère grandement des coûts utilisés dans le modèle. Assurez-vous qu'il ne s'agit pas d'une erreur de saisie",""))</f>
        <v/>
      </c>
    </row>
    <row r="41" spans="1:8" x14ac:dyDescent="0.25">
      <c r="A41" t="s">
        <v>34</v>
      </c>
      <c r="E41" s="3">
        <v>18.28</v>
      </c>
      <c r="G41" s="5"/>
      <c r="H41" t="str">
        <f t="shared" si="2"/>
        <v/>
      </c>
    </row>
    <row r="42" spans="1:8" x14ac:dyDescent="0.25">
      <c r="A42" t="s">
        <v>35</v>
      </c>
      <c r="E42" s="3">
        <v>9.1999999999999993</v>
      </c>
      <c r="G42" s="5"/>
      <c r="H42" t="str">
        <f t="shared" si="2"/>
        <v/>
      </c>
    </row>
    <row r="43" spans="1:8" x14ac:dyDescent="0.25">
      <c r="A43" t="s">
        <v>36</v>
      </c>
      <c r="E43" s="3">
        <v>62.11</v>
      </c>
      <c r="G43" s="5"/>
      <c r="H43" t="str">
        <f t="shared" si="2"/>
        <v/>
      </c>
    </row>
    <row r="44" spans="1:8" x14ac:dyDescent="0.25">
      <c r="A44" t="s">
        <v>37</v>
      </c>
      <c r="E44" s="3">
        <v>32.04</v>
      </c>
      <c r="G44" s="8"/>
      <c r="H44" t="str">
        <f t="shared" si="2"/>
        <v/>
      </c>
    </row>
    <row r="45" spans="1:8" x14ac:dyDescent="0.25">
      <c r="B45" s="1" t="s">
        <v>28</v>
      </c>
      <c r="E45" s="6">
        <f>SUM(E40:E44)</f>
        <v>126.65</v>
      </c>
      <c r="G45" s="6">
        <f>SUM(G40:G44)</f>
        <v>0</v>
      </c>
    </row>
    <row r="46" spans="1:8" x14ac:dyDescent="0.25">
      <c r="E46" s="3"/>
      <c r="G46" s="3"/>
    </row>
    <row r="47" spans="1:8" ht="28.35" customHeight="1" x14ac:dyDescent="0.25">
      <c r="A47" s="94" t="s">
        <v>40</v>
      </c>
      <c r="B47" s="94"/>
      <c r="C47" s="94"/>
      <c r="D47" s="33"/>
      <c r="E47" s="6">
        <f>E37-E45</f>
        <v>938.26419999999951</v>
      </c>
      <c r="F47" s="33"/>
      <c r="G47" s="6">
        <f>G37-G45</f>
        <v>1679.94</v>
      </c>
    </row>
    <row r="48" spans="1:8" x14ac:dyDescent="0.25">
      <c r="E48" s="3"/>
      <c r="G48" s="3"/>
    </row>
    <row r="49" spans="1:10" ht="15.75" x14ac:dyDescent="0.25">
      <c r="A49" s="65" t="s">
        <v>195</v>
      </c>
      <c r="B49" s="11"/>
      <c r="C49" s="11"/>
      <c r="D49" s="11"/>
      <c r="E49" s="11"/>
      <c r="F49" s="11"/>
      <c r="G49" s="11"/>
    </row>
    <row r="50" spans="1:10" x14ac:dyDescent="0.25">
      <c r="A50" t="s">
        <v>41</v>
      </c>
      <c r="E50" s="3">
        <v>150.86000000000001</v>
      </c>
      <c r="G50" s="5"/>
      <c r="H50" t="str">
        <f t="shared" ref="H50:H52" si="3">IF(G50="","",IF(OR(G50&gt;E50*(1+0.5),G50&lt;E50*(1-0.5)),"La valeur saisie diffère grandement des coûts utilisés dans le modèle. Assurez-vous qu'il ne s'agit pas d'une erreur de saisie",""))</f>
        <v/>
      </c>
    </row>
    <row r="51" spans="1:10" x14ac:dyDescent="0.25">
      <c r="A51" t="s">
        <v>42</v>
      </c>
      <c r="E51" s="3">
        <v>132.33000000000001</v>
      </c>
      <c r="G51" s="5"/>
      <c r="H51" t="str">
        <f t="shared" si="3"/>
        <v/>
      </c>
    </row>
    <row r="52" spans="1:10" x14ac:dyDescent="0.25">
      <c r="A52" t="s">
        <v>43</v>
      </c>
      <c r="E52" s="3">
        <v>9.57</v>
      </c>
      <c r="G52" s="5"/>
      <c r="H52" t="str">
        <f t="shared" si="3"/>
        <v/>
      </c>
    </row>
    <row r="53" spans="1:10" x14ac:dyDescent="0.25">
      <c r="B53" s="1" t="s">
        <v>28</v>
      </c>
      <c r="E53" s="4">
        <f>SUM(E50:E52)</f>
        <v>292.76000000000005</v>
      </c>
      <c r="G53" s="4">
        <f>SUM(G50:G52)</f>
        <v>0</v>
      </c>
    </row>
    <row r="54" spans="1:10" x14ac:dyDescent="0.25">
      <c r="E54" s="3"/>
      <c r="G54" s="3"/>
    </row>
    <row r="55" spans="1:10" ht="48" customHeight="1" thickBot="1" x14ac:dyDescent="0.3">
      <c r="A55" s="94" t="s">
        <v>185</v>
      </c>
      <c r="B55" s="94"/>
      <c r="C55" s="94"/>
      <c r="D55" s="33"/>
      <c r="E55" s="9">
        <f>E47-E53</f>
        <v>645.5041999999994</v>
      </c>
      <c r="F55" s="33"/>
      <c r="G55" s="9">
        <f>G47-G53</f>
        <v>1679.94</v>
      </c>
      <c r="J55" s="3"/>
    </row>
    <row r="56" spans="1:10" ht="15.75" thickTop="1" x14ac:dyDescent="0.25"/>
  </sheetData>
  <mergeCells count="3">
    <mergeCell ref="A37:C37"/>
    <mergeCell ref="A47:C47"/>
    <mergeCell ref="A55:C5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FE824-FC4D-426D-AEE9-622B5282999B}">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63</v>
      </c>
      <c r="F1" s="2"/>
      <c r="G1" s="2" t="s">
        <v>63</v>
      </c>
    </row>
    <row r="2" spans="1:8" ht="15.75" x14ac:dyDescent="0.25">
      <c r="E2" s="63" t="s">
        <v>7</v>
      </c>
      <c r="G2" s="64" t="s">
        <v>49</v>
      </c>
    </row>
    <row r="3" spans="1:8" ht="15.75" x14ac:dyDescent="0.25">
      <c r="A3" s="65" t="s">
        <v>12</v>
      </c>
      <c r="B3" s="11"/>
      <c r="C3" s="11"/>
      <c r="D3" s="11"/>
      <c r="E3" s="11"/>
      <c r="F3" s="11"/>
      <c r="G3" s="11"/>
    </row>
    <row r="4" spans="1:8" x14ac:dyDescent="0.25">
      <c r="A4" t="s">
        <v>73</v>
      </c>
      <c r="E4" s="3">
        <f>Saisies!B12*Saisies!B25</f>
        <v>1317.6000000000001</v>
      </c>
      <c r="G4" s="3">
        <f>IF(Saisies!C12="",Saisies!B12,Saisies!C12)*IF(Saisies!C25="",Saisies!B25,Saisies!C25)</f>
        <v>1317.6000000000001</v>
      </c>
      <c r="H4" t="str">
        <f t="shared" ref="H4:H8" si="0">IF(G4="","",IF(OR(G4&gt;E4*(1+0.5),G4&lt;E4*(1-0.5)),"La valeur saisie diffère grandement des coûts utilisés dans le modèle. Assurez-vous qu'il ne s'agit pas d'une erreur de saisie",""))</f>
        <v/>
      </c>
    </row>
    <row r="5" spans="1:8" x14ac:dyDescent="0.25">
      <c r="A5" t="s">
        <v>11</v>
      </c>
      <c r="E5" s="3">
        <f>IF(ASRA_Calculs!$B$6&lt;ASRA_Calculs!$C$6,(ASRA_Calculs!$C$6-ASRA_Calculs!$B$6)*ASRA_Calculs!$D$6,0)</f>
        <v>0</v>
      </c>
      <c r="G5" s="3">
        <f>IF(ASRA_Calculs!$B$6&lt;ASRA_Calculs!$C$6,(ASRA_Calculs!$C$6-ASRA_Calculs!$B$6)*ASRA_Calculs!$D$6,0)</f>
        <v>0</v>
      </c>
      <c r="H5" t="str">
        <f t="shared" si="0"/>
        <v/>
      </c>
    </row>
    <row r="6" spans="1:8" x14ac:dyDescent="0.25">
      <c r="A6" t="s">
        <v>148</v>
      </c>
      <c r="E6" s="3">
        <v>392.87</v>
      </c>
      <c r="G6" s="5"/>
      <c r="H6" t="str">
        <f t="shared" si="0"/>
        <v/>
      </c>
    </row>
    <row r="7" spans="1:8" outlineLevel="1" x14ac:dyDescent="0.25">
      <c r="A7" s="37" t="s">
        <v>178</v>
      </c>
      <c r="E7" s="3">
        <f>(E4+E6-E15)*0.01</f>
        <v>15.078400000000002</v>
      </c>
      <c r="G7" s="3">
        <f>(G4+G6-G15)*0.01</f>
        <v>13.176000000000002</v>
      </c>
      <c r="H7" t="str">
        <f t="shared" si="0"/>
        <v/>
      </c>
    </row>
    <row r="8" spans="1:8" outlineLevel="1" x14ac:dyDescent="0.25">
      <c r="A8" s="37" t="s">
        <v>39</v>
      </c>
      <c r="E8" s="3">
        <v>55.6</v>
      </c>
      <c r="G8" s="5"/>
      <c r="H8" t="str">
        <f t="shared" si="0"/>
        <v/>
      </c>
    </row>
    <row r="9" spans="1:8" x14ac:dyDescent="0.25">
      <c r="A9" s="1" t="s">
        <v>39</v>
      </c>
      <c r="E9" s="4">
        <f>SUM(E7:E8)</f>
        <v>70.678400000000011</v>
      </c>
      <c r="G9" s="55">
        <f>SUM(G7:G8)</f>
        <v>13.176000000000002</v>
      </c>
    </row>
    <row r="10" spans="1:8" x14ac:dyDescent="0.25">
      <c r="E10" s="3"/>
      <c r="G10" s="3"/>
    </row>
    <row r="11" spans="1:8" x14ac:dyDescent="0.25">
      <c r="A11" s="1" t="s">
        <v>13</v>
      </c>
      <c r="E11" s="6">
        <f>SUM(E4:E9)</f>
        <v>1851.8268000000003</v>
      </c>
      <c r="G11" s="6">
        <f>SUM(G4:G9)</f>
        <v>1343.952</v>
      </c>
    </row>
    <row r="12" spans="1:8" x14ac:dyDescent="0.25">
      <c r="E12" s="3"/>
      <c r="G12" s="3"/>
    </row>
    <row r="13" spans="1:8" x14ac:dyDescent="0.25">
      <c r="E13" s="3"/>
      <c r="G13" s="3"/>
    </row>
    <row r="14" spans="1:8" ht="15.75" x14ac:dyDescent="0.25">
      <c r="A14" s="65" t="s">
        <v>14</v>
      </c>
      <c r="B14" s="11"/>
      <c r="C14" s="11"/>
      <c r="D14" s="11"/>
      <c r="E14" s="11"/>
      <c r="F14" s="11"/>
      <c r="G14" s="11"/>
    </row>
    <row r="15" spans="1:8" outlineLevel="1" x14ac:dyDescent="0.25">
      <c r="A15" s="37" t="s">
        <v>109</v>
      </c>
      <c r="E15" s="3">
        <v>202.63</v>
      </c>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237.55</v>
      </c>
      <c r="G16" s="5"/>
      <c r="H16" t="str">
        <f t="shared" si="1"/>
        <v/>
      </c>
    </row>
    <row r="17" spans="1:8" outlineLevel="1" x14ac:dyDescent="0.25">
      <c r="A17" s="37" t="s">
        <v>16</v>
      </c>
      <c r="E17" s="3">
        <v>5.76</v>
      </c>
      <c r="G17" s="5"/>
      <c r="H17" t="str">
        <f t="shared" si="1"/>
        <v/>
      </c>
    </row>
    <row r="18" spans="1:8" outlineLevel="1" x14ac:dyDescent="0.25">
      <c r="A18" s="37" t="s">
        <v>17</v>
      </c>
      <c r="E18" s="3">
        <v>42.37</v>
      </c>
      <c r="G18" s="8"/>
      <c r="H18" t="str">
        <f t="shared" si="1"/>
        <v/>
      </c>
    </row>
    <row r="19" spans="1:8" ht="15" customHeight="1" x14ac:dyDescent="0.25">
      <c r="A19" s="1" t="s">
        <v>151</v>
      </c>
      <c r="E19" s="4">
        <f>SUM(E15:E18)</f>
        <v>488.31</v>
      </c>
      <c r="G19" s="53">
        <f>SUM(G15:G18)</f>
        <v>0</v>
      </c>
    </row>
    <row r="20" spans="1:8" outlineLevel="1" x14ac:dyDescent="0.25">
      <c r="A20" s="37" t="s">
        <v>18</v>
      </c>
      <c r="E20" s="3">
        <v>36.26</v>
      </c>
      <c r="G20" s="5"/>
      <c r="H20" t="str">
        <f t="shared" si="1"/>
        <v/>
      </c>
    </row>
    <row r="21" spans="1:8" outlineLevel="1" x14ac:dyDescent="0.25">
      <c r="A21" s="37" t="s">
        <v>19</v>
      </c>
      <c r="E21" s="3">
        <v>177.78</v>
      </c>
      <c r="G21" s="5"/>
      <c r="H21" t="str">
        <f t="shared" si="1"/>
        <v/>
      </c>
    </row>
    <row r="22" spans="1:8" outlineLevel="1" x14ac:dyDescent="0.25">
      <c r="A22" s="37" t="s">
        <v>20</v>
      </c>
      <c r="E22" s="3">
        <v>47.6</v>
      </c>
      <c r="G22" s="5"/>
      <c r="H22" t="str">
        <f t="shared" si="1"/>
        <v/>
      </c>
    </row>
    <row r="23" spans="1:8" outlineLevel="1" x14ac:dyDescent="0.25">
      <c r="A23" s="37" t="s">
        <v>21</v>
      </c>
      <c r="E23" s="3">
        <v>44.56</v>
      </c>
      <c r="G23" s="5"/>
      <c r="H23" t="str">
        <f t="shared" si="1"/>
        <v/>
      </c>
    </row>
    <row r="24" spans="1:8" outlineLevel="1" x14ac:dyDescent="0.25">
      <c r="A24" s="37" t="s">
        <v>22</v>
      </c>
      <c r="E24" s="3">
        <v>107.11</v>
      </c>
      <c r="G24" s="5"/>
      <c r="H24" t="str">
        <f t="shared" si="1"/>
        <v/>
      </c>
    </row>
    <row r="25" spans="1:8" outlineLevel="1" x14ac:dyDescent="0.25">
      <c r="A25" s="37" t="s">
        <v>23</v>
      </c>
      <c r="E25" s="3">
        <v>76.209999999999994</v>
      </c>
      <c r="G25" s="5"/>
      <c r="H25" t="str">
        <f t="shared" si="1"/>
        <v/>
      </c>
    </row>
    <row r="26" spans="1:8" outlineLevel="1" x14ac:dyDescent="0.25">
      <c r="A26" s="37" t="s">
        <v>24</v>
      </c>
      <c r="D26">
        <f>42.85/3.6</f>
        <v>11.902777777777779</v>
      </c>
      <c r="E26" s="3">
        <v>42.85</v>
      </c>
      <c r="G26" s="8"/>
      <c r="H26" t="str">
        <f t="shared" si="1"/>
        <v/>
      </c>
    </row>
    <row r="27" spans="1:8" x14ac:dyDescent="0.25">
      <c r="A27" s="1" t="s">
        <v>154</v>
      </c>
      <c r="E27" s="4">
        <f>SUM(E20:E26)</f>
        <v>532.37</v>
      </c>
      <c r="G27" s="53">
        <f>SUM(G20:G26)</f>
        <v>0</v>
      </c>
    </row>
    <row r="28" spans="1:8" outlineLevel="1" x14ac:dyDescent="0.25">
      <c r="A28" s="37" t="s">
        <v>25</v>
      </c>
      <c r="E28" s="3">
        <v>3.73</v>
      </c>
      <c r="G28" s="5"/>
      <c r="H28" t="str">
        <f t="shared" si="1"/>
        <v/>
      </c>
    </row>
    <row r="29" spans="1:8" outlineLevel="1" x14ac:dyDescent="0.25">
      <c r="A29" s="37" t="s">
        <v>26</v>
      </c>
      <c r="D29">
        <f>51.96/3.6</f>
        <v>14.433333333333334</v>
      </c>
      <c r="E29" s="3">
        <v>51.96</v>
      </c>
      <c r="G29" s="5"/>
      <c r="H29" t="str">
        <f t="shared" si="1"/>
        <v/>
      </c>
    </row>
    <row r="30" spans="1:8" outlineLevel="1" x14ac:dyDescent="0.25">
      <c r="A30" s="37" t="s">
        <v>27</v>
      </c>
      <c r="E30" s="3">
        <v>29.92</v>
      </c>
      <c r="G30" s="8"/>
      <c r="H30" t="str">
        <f t="shared" si="1"/>
        <v/>
      </c>
    </row>
    <row r="31" spans="1:8" x14ac:dyDescent="0.25">
      <c r="A31" s="1" t="s">
        <v>155</v>
      </c>
      <c r="E31" s="4">
        <f>SUM(E28:E30)</f>
        <v>85.61</v>
      </c>
      <c r="G31" s="55">
        <f>SUM(G28:G30)</f>
        <v>0</v>
      </c>
    </row>
    <row r="32" spans="1:8" x14ac:dyDescent="0.25">
      <c r="B32" s="1" t="s">
        <v>28</v>
      </c>
      <c r="E32" s="6">
        <f>E19+E27+E31</f>
        <v>1106.29</v>
      </c>
      <c r="G32" s="6">
        <f>G19+G27+G31</f>
        <v>0</v>
      </c>
    </row>
    <row r="33" spans="1:8" x14ac:dyDescent="0.25">
      <c r="E33" s="3"/>
      <c r="G33" s="3"/>
    </row>
    <row r="34" spans="1:8" x14ac:dyDescent="0.25">
      <c r="A34" t="s">
        <v>29</v>
      </c>
      <c r="E34" s="3">
        <v>7.11</v>
      </c>
      <c r="G34" s="5"/>
      <c r="H34" t="str">
        <f t="shared" si="1"/>
        <v/>
      </c>
    </row>
    <row r="35" spans="1:8" x14ac:dyDescent="0.25">
      <c r="A35" t="s">
        <v>30</v>
      </c>
      <c r="E35" s="3">
        <f>33.89+1.13</f>
        <v>35.020000000000003</v>
      </c>
      <c r="G35" s="5"/>
      <c r="H35" t="str">
        <f t="shared" si="1"/>
        <v/>
      </c>
    </row>
    <row r="36" spans="1:8" x14ac:dyDescent="0.25">
      <c r="E36" s="3"/>
      <c r="G36" s="3"/>
    </row>
    <row r="37" spans="1:8" ht="27.6" customHeight="1" x14ac:dyDescent="0.25">
      <c r="A37" s="94" t="s">
        <v>33</v>
      </c>
      <c r="B37" s="94"/>
      <c r="C37" s="94"/>
      <c r="D37" s="33"/>
      <c r="E37" s="6">
        <f>E11-(E32+SUM(E34:E35))</f>
        <v>703.4068000000002</v>
      </c>
      <c r="F37" s="33"/>
      <c r="G37" s="6">
        <f>G11-(G32+SUM(G34:G35))</f>
        <v>1343.952</v>
      </c>
    </row>
    <row r="38" spans="1:8" x14ac:dyDescent="0.25">
      <c r="E38" s="3"/>
      <c r="G38" s="3"/>
    </row>
    <row r="39" spans="1:8" ht="15.75" x14ac:dyDescent="0.25">
      <c r="A39" s="65" t="s">
        <v>31</v>
      </c>
      <c r="B39" s="11"/>
      <c r="C39" s="11"/>
      <c r="D39" s="11"/>
      <c r="E39" s="11"/>
      <c r="F39" s="11"/>
      <c r="G39" s="11"/>
    </row>
    <row r="40" spans="1:8" x14ac:dyDescent="0.25">
      <c r="A40" t="s">
        <v>32</v>
      </c>
      <c r="E40" s="3">
        <v>5.0199999999999996</v>
      </c>
      <c r="G40" s="5"/>
      <c r="H40" t="str">
        <f t="shared" ref="H40:H44" si="2">IF(G40="","",IF(OR(G40&gt;E40*(1+0.5),G40&lt;E40*(1-0.5)),"La valeur saisie diffère grandement des coûts utilisés dans le modèle. Assurez-vous qu'il ne s'agit pas d'une erreur de saisie",""))</f>
        <v/>
      </c>
    </row>
    <row r="41" spans="1:8" x14ac:dyDescent="0.25">
      <c r="A41" t="s">
        <v>34</v>
      </c>
      <c r="E41" s="3">
        <v>18.28</v>
      </c>
      <c r="G41" s="5"/>
      <c r="H41" t="str">
        <f t="shared" si="2"/>
        <v/>
      </c>
    </row>
    <row r="42" spans="1:8" x14ac:dyDescent="0.25">
      <c r="A42" t="s">
        <v>35</v>
      </c>
      <c r="E42" s="3">
        <v>9.1999999999999993</v>
      </c>
      <c r="G42" s="5"/>
      <c r="H42" t="str">
        <f t="shared" si="2"/>
        <v/>
      </c>
    </row>
    <row r="43" spans="1:8" x14ac:dyDescent="0.25">
      <c r="A43" t="s">
        <v>36</v>
      </c>
      <c r="E43" s="3">
        <v>62.11</v>
      </c>
      <c r="G43" s="5"/>
      <c r="H43" t="str">
        <f t="shared" si="2"/>
        <v/>
      </c>
    </row>
    <row r="44" spans="1:8" x14ac:dyDescent="0.25">
      <c r="A44" t="s">
        <v>37</v>
      </c>
      <c r="E44" s="3">
        <v>32.04</v>
      </c>
      <c r="G44" s="8"/>
      <c r="H44" t="str">
        <f t="shared" si="2"/>
        <v/>
      </c>
    </row>
    <row r="45" spans="1:8" x14ac:dyDescent="0.25">
      <c r="B45" s="1" t="s">
        <v>28</v>
      </c>
      <c r="E45" s="6">
        <f>SUM(E40:E44)</f>
        <v>126.65</v>
      </c>
      <c r="G45" s="6">
        <f>SUM(G40:G44)</f>
        <v>0</v>
      </c>
    </row>
    <row r="46" spans="1:8" x14ac:dyDescent="0.25">
      <c r="E46" s="3"/>
      <c r="G46" s="3"/>
    </row>
    <row r="47" spans="1:8" ht="28.35" customHeight="1" x14ac:dyDescent="0.25">
      <c r="A47" s="94" t="s">
        <v>40</v>
      </c>
      <c r="B47" s="94"/>
      <c r="C47" s="94"/>
      <c r="D47" s="33"/>
      <c r="E47" s="6">
        <f>E37-E45</f>
        <v>576.75680000000023</v>
      </c>
      <c r="F47" s="33"/>
      <c r="G47" s="6">
        <f>G37-G45</f>
        <v>1343.952</v>
      </c>
    </row>
    <row r="48" spans="1:8" x14ac:dyDescent="0.25">
      <c r="E48" s="3"/>
      <c r="G48" s="3"/>
    </row>
    <row r="49" spans="1:8" ht="15.75" x14ac:dyDescent="0.25">
      <c r="A49" s="65" t="s">
        <v>195</v>
      </c>
      <c r="B49" s="11"/>
      <c r="C49" s="11"/>
      <c r="D49" s="11"/>
      <c r="E49" s="11"/>
      <c r="F49" s="11"/>
      <c r="G49" s="11"/>
    </row>
    <row r="50" spans="1:8" x14ac:dyDescent="0.25">
      <c r="A50" t="s">
        <v>41</v>
      </c>
      <c r="E50" s="3">
        <v>150.86000000000001</v>
      </c>
      <c r="G50" s="5"/>
      <c r="H50" t="str">
        <f t="shared" ref="H50:H52" si="3">IF(G50="","",IF(OR(G50&gt;E50*(1+0.5),G50&lt;E50*(1-0.5)),"La valeur saisie diffère grandement des coûts utilisés dans le modèle. Assurez-vous qu'il ne s'agit pas d'une erreur de saisie",""))</f>
        <v/>
      </c>
    </row>
    <row r="51" spans="1:8" x14ac:dyDescent="0.25">
      <c r="A51" t="s">
        <v>42</v>
      </c>
      <c r="E51" s="3">
        <v>132.33000000000001</v>
      </c>
      <c r="G51" s="5"/>
      <c r="H51" t="str">
        <f t="shared" si="3"/>
        <v/>
      </c>
    </row>
    <row r="52" spans="1:8" x14ac:dyDescent="0.25">
      <c r="A52" t="s">
        <v>43</v>
      </c>
      <c r="E52" s="3">
        <v>9.57</v>
      </c>
      <c r="G52" s="5"/>
      <c r="H52" t="str">
        <f t="shared" si="3"/>
        <v/>
      </c>
    </row>
    <row r="53" spans="1:8" x14ac:dyDescent="0.25">
      <c r="B53" s="1" t="s">
        <v>28</v>
      </c>
      <c r="E53" s="4">
        <f>SUM(E50:E52)</f>
        <v>292.76000000000005</v>
      </c>
      <c r="G53" s="4">
        <f>SUM(G50:G52)</f>
        <v>0</v>
      </c>
    </row>
    <row r="54" spans="1:8" x14ac:dyDescent="0.25">
      <c r="E54" s="3"/>
      <c r="G54" s="3"/>
    </row>
    <row r="55" spans="1:8" ht="48" customHeight="1" thickBot="1" x14ac:dyDescent="0.3">
      <c r="A55" s="94" t="s">
        <v>185</v>
      </c>
      <c r="B55" s="94"/>
      <c r="C55" s="94"/>
      <c r="D55" s="33"/>
      <c r="E55" s="9">
        <f>E47-E53</f>
        <v>283.99680000000018</v>
      </c>
      <c r="F55" s="33"/>
      <c r="G55" s="9">
        <f>G47-G53</f>
        <v>1343.952</v>
      </c>
    </row>
    <row r="56" spans="1:8" ht="15.75" thickTop="1" x14ac:dyDescent="0.25"/>
  </sheetData>
  <mergeCells count="3">
    <mergeCell ref="A37:C37"/>
    <mergeCell ref="A47:C47"/>
    <mergeCell ref="A55:C5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B9004-9B63-4981-93AA-F5CC57701D3A}">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63</v>
      </c>
      <c r="F1" s="2"/>
      <c r="G1" s="2" t="s">
        <v>63</v>
      </c>
    </row>
    <row r="2" spans="1:8" ht="15.75" x14ac:dyDescent="0.25">
      <c r="E2" s="63" t="s">
        <v>7</v>
      </c>
      <c r="G2" s="64" t="s">
        <v>49</v>
      </c>
    </row>
    <row r="3" spans="1:8" ht="15.75" x14ac:dyDescent="0.25">
      <c r="A3" s="65" t="s">
        <v>12</v>
      </c>
      <c r="B3" s="67"/>
      <c r="C3" s="67"/>
      <c r="D3" s="67"/>
      <c r="E3" s="67"/>
      <c r="F3" s="67"/>
      <c r="G3" s="67"/>
    </row>
    <row r="4" spans="1:8" x14ac:dyDescent="0.25">
      <c r="A4" t="s">
        <v>73</v>
      </c>
      <c r="E4" s="3">
        <f>Saisies!B14*Saisies!B27</f>
        <v>880</v>
      </c>
      <c r="G4" s="3">
        <f>IF(Saisies!C14="",Saisies!B14,Saisies!C14)*IF(Saisies!C27="",Saisies!B27,Saisies!C27)</f>
        <v>880</v>
      </c>
      <c r="H4" t="str">
        <f t="shared" ref="H4:H8" si="0">IF(G4="","",IF(OR(G4&gt;E4*(1+0.5),G4&lt;E4*(1-0.5)),"La valeur saisie diffère grandement des coûts utilisés dans le modèle. Assurez-vous qu'il ne s'agit pas d'une erreur de saisie",""))</f>
        <v/>
      </c>
    </row>
    <row r="5" spans="1:8" x14ac:dyDescent="0.25">
      <c r="A5" t="s">
        <v>11</v>
      </c>
      <c r="E5" s="3">
        <f>IF(ASRA_Calculs!$B$8&lt;ASRA_Calculs!$C$8,(ASRA_Calculs!$C$8-ASRA_Calculs!$B$8)*ASRA_Calculs!$D$8,0)</f>
        <v>0</v>
      </c>
      <c r="G5" s="3">
        <f>IF(ASRA_Calculs!$B$8&lt;ASRA_Calculs!$C$8,(ASRA_Calculs!$C$8-ASRA_Calculs!$B$8)*ASRA_Calculs!$D$8,0)</f>
        <v>0</v>
      </c>
      <c r="H5" t="str">
        <f t="shared" si="0"/>
        <v/>
      </c>
    </row>
    <row r="6" spans="1:8" x14ac:dyDescent="0.25">
      <c r="A6" t="s">
        <v>148</v>
      </c>
      <c r="E6" s="3">
        <v>324.72000000000003</v>
      </c>
      <c r="G6" s="5"/>
      <c r="H6" t="str">
        <f t="shared" si="0"/>
        <v/>
      </c>
    </row>
    <row r="7" spans="1:8" outlineLevel="1" x14ac:dyDescent="0.25">
      <c r="A7" s="37" t="s">
        <v>178</v>
      </c>
      <c r="E7" s="3">
        <f>(E4+E6-E15)*0.042</f>
        <v>43.34442</v>
      </c>
      <c r="G7" s="3">
        <f>(G4+G6-G15)*0.042</f>
        <v>36.96</v>
      </c>
      <c r="H7" t="str">
        <f t="shared" si="0"/>
        <v/>
      </c>
    </row>
    <row r="8" spans="1:8" outlineLevel="1" x14ac:dyDescent="0.25">
      <c r="A8" s="37" t="s">
        <v>39</v>
      </c>
      <c r="E8" s="3">
        <v>70.760000000000005</v>
      </c>
      <c r="G8" s="5"/>
      <c r="H8" t="str">
        <f t="shared" si="0"/>
        <v/>
      </c>
    </row>
    <row r="9" spans="1:8" x14ac:dyDescent="0.25">
      <c r="A9" s="1" t="s">
        <v>39</v>
      </c>
      <c r="E9" s="4">
        <f>SUM(E7:E8)</f>
        <v>114.10442</v>
      </c>
      <c r="G9" s="55">
        <f>SUM(G7:G8)</f>
        <v>36.96</v>
      </c>
    </row>
    <row r="10" spans="1:8" x14ac:dyDescent="0.25">
      <c r="E10" s="3"/>
      <c r="G10" s="3"/>
    </row>
    <row r="11" spans="1:8" x14ac:dyDescent="0.25">
      <c r="A11" s="1" t="s">
        <v>13</v>
      </c>
      <c r="E11" s="6">
        <f>SUM(E4:E9)</f>
        <v>1432.92884</v>
      </c>
      <c r="G11" s="6">
        <f>SUM(G4:G9)</f>
        <v>953.92000000000007</v>
      </c>
    </row>
    <row r="12" spans="1:8" x14ac:dyDescent="0.25">
      <c r="E12" s="3"/>
      <c r="G12" s="3"/>
    </row>
    <row r="13" spans="1:8" x14ac:dyDescent="0.25">
      <c r="E13" s="3"/>
      <c r="G13" s="3"/>
    </row>
    <row r="14" spans="1:8" ht="15.75" x14ac:dyDescent="0.25">
      <c r="A14" s="65" t="s">
        <v>14</v>
      </c>
      <c r="B14" s="67"/>
      <c r="C14" s="67"/>
      <c r="D14" s="67"/>
      <c r="E14" s="67"/>
      <c r="F14" s="67"/>
      <c r="G14" s="67"/>
    </row>
    <row r="15" spans="1:8" outlineLevel="1" x14ac:dyDescent="0.25">
      <c r="A15" s="37" t="s">
        <v>109</v>
      </c>
      <c r="E15" s="3">
        <v>172.71</v>
      </c>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149.29</v>
      </c>
      <c r="G16" s="5"/>
      <c r="H16" t="str">
        <f t="shared" si="1"/>
        <v/>
      </c>
    </row>
    <row r="17" spans="1:8" outlineLevel="1" x14ac:dyDescent="0.25">
      <c r="A17" s="37" t="s">
        <v>16</v>
      </c>
      <c r="E17" s="3">
        <v>0</v>
      </c>
      <c r="G17" s="5"/>
      <c r="H17" t="str">
        <f t="shared" si="1"/>
        <v/>
      </c>
    </row>
    <row r="18" spans="1:8" outlineLevel="1" x14ac:dyDescent="0.25">
      <c r="A18" s="37" t="s">
        <v>17</v>
      </c>
      <c r="E18" s="3">
        <v>3.44</v>
      </c>
      <c r="G18" s="8"/>
      <c r="H18" t="str">
        <f t="shared" si="1"/>
        <v/>
      </c>
    </row>
    <row r="19" spans="1:8" x14ac:dyDescent="0.25">
      <c r="A19" s="1" t="s">
        <v>151</v>
      </c>
      <c r="E19" s="4">
        <f>SUM(E15:E18)</f>
        <v>325.44</v>
      </c>
      <c r="G19" s="53">
        <f>SUM(G15:G18)</f>
        <v>0</v>
      </c>
    </row>
    <row r="20" spans="1:8" outlineLevel="1" x14ac:dyDescent="0.25">
      <c r="A20" s="37" t="s">
        <v>18</v>
      </c>
      <c r="E20" s="3">
        <v>172.69</v>
      </c>
      <c r="G20" s="5"/>
      <c r="H20" t="str">
        <f t="shared" si="1"/>
        <v/>
      </c>
    </row>
    <row r="21" spans="1:8" outlineLevel="1" x14ac:dyDescent="0.25">
      <c r="A21" s="37" t="s">
        <v>19</v>
      </c>
      <c r="E21" s="3">
        <v>0</v>
      </c>
      <c r="G21" s="5"/>
      <c r="H21" t="str">
        <f t="shared" si="1"/>
        <v/>
      </c>
    </row>
    <row r="22" spans="1:8" outlineLevel="1" x14ac:dyDescent="0.25">
      <c r="A22" s="37" t="s">
        <v>20</v>
      </c>
      <c r="E22" s="3">
        <v>0</v>
      </c>
      <c r="G22" s="5"/>
      <c r="H22" t="str">
        <f t="shared" si="1"/>
        <v/>
      </c>
    </row>
    <row r="23" spans="1:8" outlineLevel="1" x14ac:dyDescent="0.25">
      <c r="A23" s="37" t="s">
        <v>21</v>
      </c>
      <c r="E23" s="3">
        <v>0</v>
      </c>
      <c r="G23" s="5"/>
      <c r="H23" t="str">
        <f t="shared" si="1"/>
        <v/>
      </c>
    </row>
    <row r="24" spans="1:8" outlineLevel="1" x14ac:dyDescent="0.25">
      <c r="A24" s="37" t="s">
        <v>22</v>
      </c>
      <c r="E24" s="3">
        <v>97.79</v>
      </c>
      <c r="G24" s="5"/>
      <c r="H24" t="str">
        <f t="shared" si="1"/>
        <v/>
      </c>
    </row>
    <row r="25" spans="1:8" outlineLevel="1" x14ac:dyDescent="0.25">
      <c r="A25" s="37" t="s">
        <v>23</v>
      </c>
      <c r="E25" s="3">
        <v>0</v>
      </c>
      <c r="G25" s="5"/>
      <c r="H25" t="str">
        <f t="shared" si="1"/>
        <v/>
      </c>
    </row>
    <row r="26" spans="1:8" outlineLevel="1" x14ac:dyDescent="0.25">
      <c r="A26" s="37" t="s">
        <v>24</v>
      </c>
      <c r="D26">
        <f>0/3.2</f>
        <v>0</v>
      </c>
      <c r="E26" s="3">
        <v>0</v>
      </c>
      <c r="G26" s="8"/>
      <c r="H26" t="str">
        <f t="shared" si="1"/>
        <v/>
      </c>
    </row>
    <row r="27" spans="1:8" x14ac:dyDescent="0.25">
      <c r="A27" s="1" t="s">
        <v>154</v>
      </c>
      <c r="E27" s="4">
        <f>SUM(E20:E26)</f>
        <v>270.48</v>
      </c>
      <c r="G27" s="53">
        <f>SUM(G20:G26)</f>
        <v>0</v>
      </c>
    </row>
    <row r="28" spans="1:8" outlineLevel="1" x14ac:dyDescent="0.25">
      <c r="A28" s="37" t="s">
        <v>25</v>
      </c>
      <c r="E28" s="3">
        <v>31.1</v>
      </c>
      <c r="G28" s="5"/>
      <c r="H28" t="str">
        <f t="shared" si="1"/>
        <v/>
      </c>
    </row>
    <row r="29" spans="1:8" outlineLevel="1" x14ac:dyDescent="0.25">
      <c r="A29" s="37" t="s">
        <v>26</v>
      </c>
      <c r="D29">
        <f>18.2/3.2</f>
        <v>5.6874999999999991</v>
      </c>
      <c r="E29" s="3">
        <v>18.2</v>
      </c>
      <c r="G29" s="5"/>
      <c r="H29" t="str">
        <f t="shared" si="1"/>
        <v/>
      </c>
    </row>
    <row r="30" spans="1:8" outlineLevel="1" x14ac:dyDescent="0.25">
      <c r="A30" s="37" t="s">
        <v>27</v>
      </c>
      <c r="E30" s="3">
        <v>85.04</v>
      </c>
      <c r="G30" s="8"/>
      <c r="H30" t="str">
        <f t="shared" si="1"/>
        <v/>
      </c>
    </row>
    <row r="31" spans="1:8" x14ac:dyDescent="0.25">
      <c r="A31" s="1" t="s">
        <v>155</v>
      </c>
      <c r="E31" s="4">
        <f>SUM(E28:E30)</f>
        <v>134.34</v>
      </c>
      <c r="G31" s="55">
        <f>SUM(G28:G30)</f>
        <v>0</v>
      </c>
    </row>
    <row r="32" spans="1:8" x14ac:dyDescent="0.25">
      <c r="B32" s="1" t="s">
        <v>28</v>
      </c>
      <c r="E32" s="6">
        <f>E19+E27+E31</f>
        <v>730.2600000000001</v>
      </c>
      <c r="G32" s="6">
        <f>G19+G27+G31</f>
        <v>0</v>
      </c>
    </row>
    <row r="33" spans="1:8" x14ac:dyDescent="0.25">
      <c r="E33" s="3"/>
      <c r="G33" s="3"/>
    </row>
    <row r="34" spans="1:8" x14ac:dyDescent="0.25">
      <c r="A34" t="s">
        <v>29</v>
      </c>
      <c r="E34" s="3">
        <v>0</v>
      </c>
      <c r="G34" s="5"/>
      <c r="H34" t="str">
        <f t="shared" si="1"/>
        <v/>
      </c>
    </row>
    <row r="35" spans="1:8" x14ac:dyDescent="0.25">
      <c r="A35" t="s">
        <v>30</v>
      </c>
      <c r="E35" s="3">
        <v>0</v>
      </c>
      <c r="G35" s="5"/>
      <c r="H35" t="str">
        <f t="shared" si="1"/>
        <v/>
      </c>
    </row>
    <row r="36" spans="1:8" x14ac:dyDescent="0.25">
      <c r="E36" s="3"/>
      <c r="G36" s="3"/>
    </row>
    <row r="37" spans="1:8" ht="27.6" customHeight="1" x14ac:dyDescent="0.25">
      <c r="A37" s="94" t="s">
        <v>33</v>
      </c>
      <c r="B37" s="94"/>
      <c r="C37" s="94"/>
      <c r="D37" s="33"/>
      <c r="E37" s="6">
        <f>E11-(E32+SUM(E34:E35))</f>
        <v>702.66883999999993</v>
      </c>
      <c r="F37" s="33"/>
      <c r="G37" s="6">
        <f>G11-(G32+SUM(G34:G35))</f>
        <v>953.92000000000007</v>
      </c>
    </row>
    <row r="38" spans="1:8" x14ac:dyDescent="0.25">
      <c r="E38" s="3"/>
      <c r="G38" s="3"/>
    </row>
    <row r="39" spans="1:8" ht="15.75" x14ac:dyDescent="0.25">
      <c r="A39" s="65" t="s">
        <v>31</v>
      </c>
      <c r="B39" s="67"/>
      <c r="C39" s="67"/>
      <c r="D39" s="67"/>
      <c r="E39" s="67"/>
      <c r="F39" s="67"/>
      <c r="G39" s="67"/>
    </row>
    <row r="40" spans="1:8" x14ac:dyDescent="0.25">
      <c r="A40" t="s">
        <v>32</v>
      </c>
      <c r="E40" s="3">
        <v>10.73</v>
      </c>
      <c r="G40" s="5"/>
      <c r="H40" t="str">
        <f t="shared" ref="H40:H44" si="2">IF(G40="","",IF(OR(G40&gt;E40*(1+0.5),G40&lt;E40*(1-0.5)),"La valeur saisie diffère grandement des coûts utilisés dans le modèle. Assurez-vous qu'il ne s'agit pas d'une erreur de saisie",""))</f>
        <v/>
      </c>
    </row>
    <row r="41" spans="1:8" x14ac:dyDescent="0.25">
      <c r="A41" t="s">
        <v>34</v>
      </c>
      <c r="E41" s="3">
        <v>0</v>
      </c>
      <c r="G41" s="5"/>
      <c r="H41" t="str">
        <f t="shared" si="2"/>
        <v/>
      </c>
    </row>
    <row r="42" spans="1:8" x14ac:dyDescent="0.25">
      <c r="A42" t="s">
        <v>35</v>
      </c>
      <c r="E42" s="3">
        <v>0</v>
      </c>
      <c r="G42" s="5"/>
      <c r="H42" t="str">
        <f t="shared" si="2"/>
        <v/>
      </c>
    </row>
    <row r="43" spans="1:8" x14ac:dyDescent="0.25">
      <c r="A43" t="s">
        <v>36</v>
      </c>
      <c r="E43" s="3">
        <v>0</v>
      </c>
      <c r="G43" s="5"/>
      <c r="H43" t="str">
        <f t="shared" si="2"/>
        <v/>
      </c>
    </row>
    <row r="44" spans="1:8" x14ac:dyDescent="0.25">
      <c r="A44" t="s">
        <v>37</v>
      </c>
      <c r="E44" s="3">
        <v>63.57</v>
      </c>
      <c r="G44" s="8"/>
      <c r="H44" t="str">
        <f t="shared" si="2"/>
        <v/>
      </c>
    </row>
    <row r="45" spans="1:8" x14ac:dyDescent="0.25">
      <c r="B45" s="1" t="s">
        <v>28</v>
      </c>
      <c r="E45" s="6">
        <f>SUM(E40:E44)</f>
        <v>74.3</v>
      </c>
      <c r="G45" s="6">
        <f>SUM(G40:G44)</f>
        <v>0</v>
      </c>
    </row>
    <row r="46" spans="1:8" x14ac:dyDescent="0.25">
      <c r="E46" s="3"/>
      <c r="G46" s="3"/>
    </row>
    <row r="47" spans="1:8" ht="28.35" customHeight="1" x14ac:dyDescent="0.25">
      <c r="A47" s="94" t="s">
        <v>40</v>
      </c>
      <c r="B47" s="94"/>
      <c r="C47" s="94"/>
      <c r="D47" s="33"/>
      <c r="E47" s="6">
        <f>E37-E45</f>
        <v>628.36883999999998</v>
      </c>
      <c r="F47" s="33"/>
      <c r="G47" s="6">
        <f>G37-G45</f>
        <v>953.92000000000007</v>
      </c>
    </row>
    <row r="48" spans="1:8" x14ac:dyDescent="0.25">
      <c r="E48" s="3"/>
      <c r="G48" s="3"/>
    </row>
    <row r="49" spans="1:8" ht="15.75" x14ac:dyDescent="0.25">
      <c r="A49" s="65" t="s">
        <v>195</v>
      </c>
      <c r="B49" s="67"/>
      <c r="C49" s="67"/>
      <c r="D49" s="67"/>
      <c r="E49" s="67"/>
      <c r="F49" s="67"/>
      <c r="G49" s="67"/>
    </row>
    <row r="50" spans="1:8" x14ac:dyDescent="0.25">
      <c r="A50" t="s">
        <v>41</v>
      </c>
      <c r="E50" s="3">
        <v>165.93</v>
      </c>
      <c r="G50" s="5"/>
      <c r="H50" t="str">
        <f t="shared" ref="H50:H52" si="3">IF(G50="","",IF(OR(G50&gt;E50*(1+0.5),G50&lt;E50*(1-0.5)),"La valeur saisie diffère grandement des coûts utilisés dans le modèle. Assurez-vous qu'il ne s'agit pas d'une erreur de saisie",""))</f>
        <v/>
      </c>
    </row>
    <row r="51" spans="1:8" x14ac:dyDescent="0.25">
      <c r="A51" t="s">
        <v>42</v>
      </c>
      <c r="E51" s="3">
        <v>178.96</v>
      </c>
      <c r="G51" s="5"/>
      <c r="H51" t="str">
        <f t="shared" si="3"/>
        <v/>
      </c>
    </row>
    <row r="52" spans="1:8" x14ac:dyDescent="0.25">
      <c r="A52" t="s">
        <v>43</v>
      </c>
      <c r="E52" s="3">
        <v>29.26</v>
      </c>
      <c r="G52" s="5"/>
      <c r="H52" t="str">
        <f t="shared" si="3"/>
        <v/>
      </c>
    </row>
    <row r="53" spans="1:8" x14ac:dyDescent="0.25">
      <c r="B53" s="1" t="s">
        <v>28</v>
      </c>
      <c r="E53" s="4">
        <f>SUM(E50:E52)</f>
        <v>374.15</v>
      </c>
      <c r="G53" s="4">
        <f>SUM(G50:G52)</f>
        <v>0</v>
      </c>
    </row>
    <row r="54" spans="1:8" x14ac:dyDescent="0.25">
      <c r="E54" s="3"/>
      <c r="G54" s="3"/>
    </row>
    <row r="55" spans="1:8" ht="48" customHeight="1" thickBot="1" x14ac:dyDescent="0.3">
      <c r="A55" s="94" t="s">
        <v>185</v>
      </c>
      <c r="B55" s="94"/>
      <c r="C55" s="94"/>
      <c r="D55" s="33"/>
      <c r="E55" s="9">
        <f>E47-E53</f>
        <v>254.21884</v>
      </c>
      <c r="F55" s="33"/>
      <c r="G55" s="9">
        <f>G47-G53</f>
        <v>953.92000000000007</v>
      </c>
    </row>
    <row r="56" spans="1:8" ht="15.75" thickTop="1" x14ac:dyDescent="0.25"/>
  </sheetData>
  <mergeCells count="3">
    <mergeCell ref="A37:C37"/>
    <mergeCell ref="A47:C47"/>
    <mergeCell ref="A55:C55"/>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DF4FD-4210-4F2B-827C-5497BD0DB2AD}">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63</v>
      </c>
      <c r="F1" s="2"/>
      <c r="G1" s="2" t="s">
        <v>63</v>
      </c>
    </row>
    <row r="2" spans="1:8" ht="15.75" x14ac:dyDescent="0.25">
      <c r="E2" s="63" t="s">
        <v>7</v>
      </c>
      <c r="G2" s="64" t="s">
        <v>49</v>
      </c>
    </row>
    <row r="3" spans="1:8" ht="15.75" x14ac:dyDescent="0.25">
      <c r="A3" s="65" t="s">
        <v>12</v>
      </c>
      <c r="B3" s="67"/>
      <c r="C3" s="67"/>
      <c r="D3" s="67"/>
      <c r="E3" s="67"/>
      <c r="F3" s="67"/>
      <c r="G3" s="67"/>
    </row>
    <row r="4" spans="1:8" x14ac:dyDescent="0.25">
      <c r="A4" t="s">
        <v>73</v>
      </c>
      <c r="E4" s="3">
        <f>Saisies!B15*Saisies!B28</f>
        <v>1512.5</v>
      </c>
      <c r="G4" s="3">
        <f>IF(Saisies!C15="",Saisies!B15,Saisies!C15)*IF(Saisies!C28="",Saisies!B28,Saisies!C28)</f>
        <v>1512.5</v>
      </c>
      <c r="H4" t="str">
        <f t="shared" ref="H4:H8" si="0">IF(G4="","",IF(OR(G4&gt;E4*(1+0.5),G4&lt;E4*(1-0.5)),"La valeur saisie diffère grandement des coûts utilisés dans le modèle. Assurez-vous qu'il ne s'agit pas d'une erreur de saisie",""))</f>
        <v/>
      </c>
    </row>
    <row r="5" spans="1:8" x14ac:dyDescent="0.25">
      <c r="A5" t="s">
        <v>11</v>
      </c>
      <c r="E5" s="3">
        <f>IF(ASRA_Calculs!$B$8&lt;ASRA_Calculs!$C$8,(ASRA_Calculs!$C$8-ASRA_Calculs!$B$8)*ASRA_Calculs!$D$8,0)</f>
        <v>0</v>
      </c>
      <c r="G5" s="3">
        <f>IF(ASRA_Calculs!$B$8&lt;ASRA_Calculs!$C$8,(ASRA_Calculs!$C$8-ASRA_Calculs!$B$8)*ASRA_Calculs!$D$8,0)</f>
        <v>0</v>
      </c>
      <c r="H5" t="str">
        <f t="shared" si="0"/>
        <v/>
      </c>
    </row>
    <row r="6" spans="1:8" x14ac:dyDescent="0.25">
      <c r="A6" t="s">
        <v>148</v>
      </c>
      <c r="E6" s="3">
        <v>405.9</v>
      </c>
      <c r="G6" s="5"/>
      <c r="H6" t="str">
        <f t="shared" si="0"/>
        <v/>
      </c>
    </row>
    <row r="7" spans="1:8" outlineLevel="1" x14ac:dyDescent="0.25">
      <c r="A7" s="37" t="s">
        <v>178</v>
      </c>
      <c r="E7" s="3">
        <f>(E4+E6-E15)*0.042</f>
        <v>71.752800000000008</v>
      </c>
      <c r="G7" s="3">
        <f>(G4+G6-G15)*0.042</f>
        <v>63.525000000000006</v>
      </c>
      <c r="H7" t="str">
        <f t="shared" si="0"/>
        <v/>
      </c>
    </row>
    <row r="8" spans="1:8" outlineLevel="1" x14ac:dyDescent="0.25">
      <c r="A8" s="37" t="s">
        <v>39</v>
      </c>
      <c r="E8" s="3">
        <v>42.35</v>
      </c>
      <c r="G8" s="5"/>
      <c r="H8" t="str">
        <f t="shared" si="0"/>
        <v/>
      </c>
    </row>
    <row r="9" spans="1:8" x14ac:dyDescent="0.25">
      <c r="A9" s="1" t="s">
        <v>39</v>
      </c>
      <c r="E9" s="4">
        <f>SUM(E7:E8)</f>
        <v>114.1028</v>
      </c>
      <c r="G9" s="55">
        <f>SUM(G7:G8)</f>
        <v>63.525000000000006</v>
      </c>
    </row>
    <row r="10" spans="1:8" x14ac:dyDescent="0.25">
      <c r="E10" s="3"/>
      <c r="G10" s="3"/>
    </row>
    <row r="11" spans="1:8" x14ac:dyDescent="0.25">
      <c r="A11" s="1" t="s">
        <v>13</v>
      </c>
      <c r="E11" s="6">
        <f>SUM(E4:E9)</f>
        <v>2146.6055999999999</v>
      </c>
      <c r="G11" s="6">
        <f>SUM(G4:G9)</f>
        <v>1639.5500000000002</v>
      </c>
    </row>
    <row r="12" spans="1:8" x14ac:dyDescent="0.25">
      <c r="E12" s="3"/>
      <c r="G12" s="3"/>
    </row>
    <row r="13" spans="1:8" x14ac:dyDescent="0.25">
      <c r="E13" s="3"/>
      <c r="G13" s="3"/>
    </row>
    <row r="14" spans="1:8" ht="15.75" x14ac:dyDescent="0.25">
      <c r="A14" s="65" t="s">
        <v>14</v>
      </c>
      <c r="B14" s="67"/>
      <c r="C14" s="67"/>
      <c r="D14" s="67"/>
      <c r="E14" s="67"/>
      <c r="F14" s="67"/>
      <c r="G14" s="67"/>
    </row>
    <row r="15" spans="1:8" outlineLevel="1" x14ac:dyDescent="0.25">
      <c r="A15" s="37" t="s">
        <v>109</v>
      </c>
      <c r="E15" s="3">
        <v>210</v>
      </c>
      <c r="G15" s="5"/>
      <c r="H15" t="str">
        <f t="shared" ref="H15:H35" si="1">IF(G15="","",IF(OR(G15&gt;E15*(1+0.5),G15&lt;E15*(1-0.5)),"La valeur saisie diffère grandement des coûts utilisés dans le modèle. Assurez-vous qu'il ne s'agit pas d'une erreur de saisie",""))</f>
        <v/>
      </c>
    </row>
    <row r="16" spans="1:8" outlineLevel="1" x14ac:dyDescent="0.25">
      <c r="A16" s="37" t="s">
        <v>15</v>
      </c>
      <c r="E16" s="3">
        <v>149</v>
      </c>
      <c r="G16" s="5"/>
      <c r="H16" t="str">
        <f t="shared" si="1"/>
        <v/>
      </c>
    </row>
    <row r="17" spans="1:8" outlineLevel="1" x14ac:dyDescent="0.25">
      <c r="A17" s="37" t="s">
        <v>16</v>
      </c>
      <c r="E17" s="3">
        <v>0</v>
      </c>
      <c r="G17" s="5"/>
      <c r="H17" t="str">
        <f t="shared" si="1"/>
        <v/>
      </c>
    </row>
    <row r="18" spans="1:8" outlineLevel="1" x14ac:dyDescent="0.25">
      <c r="A18" s="37" t="s">
        <v>17</v>
      </c>
      <c r="E18" s="3">
        <v>3.44</v>
      </c>
      <c r="G18" s="8"/>
      <c r="H18" t="str">
        <f t="shared" si="1"/>
        <v/>
      </c>
    </row>
    <row r="19" spans="1:8" x14ac:dyDescent="0.25">
      <c r="A19" s="1" t="s">
        <v>151</v>
      </c>
      <c r="E19" s="4">
        <f>SUM(E15:E18)</f>
        <v>362.44</v>
      </c>
      <c r="G19" s="53">
        <f>SUM(G15:G18)</f>
        <v>0</v>
      </c>
    </row>
    <row r="20" spans="1:8" outlineLevel="1" x14ac:dyDescent="0.25">
      <c r="A20" s="37" t="s">
        <v>18</v>
      </c>
      <c r="E20" s="3">
        <v>172.69</v>
      </c>
      <c r="G20" s="5"/>
      <c r="H20" t="str">
        <f t="shared" si="1"/>
        <v/>
      </c>
    </row>
    <row r="21" spans="1:8" outlineLevel="1" x14ac:dyDescent="0.25">
      <c r="A21" s="37" t="s">
        <v>19</v>
      </c>
      <c r="E21" s="3">
        <v>0</v>
      </c>
      <c r="G21" s="5"/>
      <c r="H21" t="str">
        <f t="shared" si="1"/>
        <v/>
      </c>
    </row>
    <row r="22" spans="1:8" outlineLevel="1" x14ac:dyDescent="0.25">
      <c r="A22" s="37" t="s">
        <v>20</v>
      </c>
      <c r="E22" s="3">
        <v>0</v>
      </c>
      <c r="G22" s="5"/>
      <c r="H22" t="str">
        <f t="shared" si="1"/>
        <v/>
      </c>
    </row>
    <row r="23" spans="1:8" outlineLevel="1" x14ac:dyDescent="0.25">
      <c r="A23" s="37" t="s">
        <v>21</v>
      </c>
      <c r="E23" s="3">
        <v>0</v>
      </c>
      <c r="G23" s="5"/>
      <c r="H23" t="str">
        <f t="shared" si="1"/>
        <v/>
      </c>
    </row>
    <row r="24" spans="1:8" outlineLevel="1" x14ac:dyDescent="0.25">
      <c r="A24" s="37" t="s">
        <v>22</v>
      </c>
      <c r="E24" s="3">
        <v>113.14</v>
      </c>
      <c r="G24" s="5"/>
      <c r="H24" t="str">
        <f t="shared" si="1"/>
        <v/>
      </c>
    </row>
    <row r="25" spans="1:8" outlineLevel="1" x14ac:dyDescent="0.25">
      <c r="A25" s="37" t="s">
        <v>23</v>
      </c>
      <c r="E25" s="3">
        <v>0</v>
      </c>
      <c r="G25" s="5"/>
      <c r="H25" t="str">
        <f t="shared" si="1"/>
        <v/>
      </c>
    </row>
    <row r="26" spans="1:8" outlineLevel="1" x14ac:dyDescent="0.25">
      <c r="A26" s="37" t="s">
        <v>24</v>
      </c>
      <c r="D26">
        <f>0/4</f>
        <v>0</v>
      </c>
      <c r="E26" s="3">
        <v>0</v>
      </c>
      <c r="G26" s="8"/>
      <c r="H26" t="str">
        <f t="shared" si="1"/>
        <v/>
      </c>
    </row>
    <row r="27" spans="1:8" x14ac:dyDescent="0.25">
      <c r="A27" s="1" t="s">
        <v>154</v>
      </c>
      <c r="E27" s="4">
        <f>SUM(E20:E26)</f>
        <v>285.83</v>
      </c>
      <c r="G27" s="53">
        <f>SUM(G20:G26)</f>
        <v>0</v>
      </c>
    </row>
    <row r="28" spans="1:8" outlineLevel="1" x14ac:dyDescent="0.25">
      <c r="A28" s="37" t="s">
        <v>25</v>
      </c>
      <c r="E28" s="3">
        <v>31.1</v>
      </c>
      <c r="G28" s="5"/>
      <c r="H28" t="str">
        <f t="shared" si="1"/>
        <v/>
      </c>
    </row>
    <row r="29" spans="1:8" outlineLevel="1" x14ac:dyDescent="0.25">
      <c r="A29" s="37" t="s">
        <v>26</v>
      </c>
      <c r="D29">
        <f>18.2/4</f>
        <v>4.55</v>
      </c>
      <c r="E29" s="3">
        <v>18.2</v>
      </c>
      <c r="G29" s="5"/>
      <c r="H29" t="str">
        <f t="shared" si="1"/>
        <v/>
      </c>
    </row>
    <row r="30" spans="1:8" outlineLevel="1" x14ac:dyDescent="0.25">
      <c r="A30" s="37" t="s">
        <v>27</v>
      </c>
      <c r="E30" s="3">
        <v>85.04</v>
      </c>
      <c r="G30" s="8"/>
      <c r="H30" t="str">
        <f t="shared" si="1"/>
        <v/>
      </c>
    </row>
    <row r="31" spans="1:8" x14ac:dyDescent="0.25">
      <c r="A31" s="1" t="s">
        <v>155</v>
      </c>
      <c r="E31" s="4">
        <f>SUM(E28:E30)</f>
        <v>134.34</v>
      </c>
      <c r="G31" s="55">
        <f>SUM(G28:G30)</f>
        <v>0</v>
      </c>
    </row>
    <row r="32" spans="1:8" x14ac:dyDescent="0.25">
      <c r="B32" s="1" t="s">
        <v>28</v>
      </c>
      <c r="E32" s="6">
        <f>E19+E27+E31</f>
        <v>782.61</v>
      </c>
      <c r="G32" s="6">
        <f>G19+G27+G31</f>
        <v>0</v>
      </c>
    </row>
    <row r="33" spans="1:8" x14ac:dyDescent="0.25">
      <c r="E33" s="3"/>
      <c r="G33" s="3"/>
    </row>
    <row r="34" spans="1:8" x14ac:dyDescent="0.25">
      <c r="A34" t="s">
        <v>29</v>
      </c>
      <c r="E34" s="3">
        <v>0</v>
      </c>
      <c r="G34" s="5"/>
      <c r="H34" t="str">
        <f t="shared" si="1"/>
        <v/>
      </c>
    </row>
    <row r="35" spans="1:8" x14ac:dyDescent="0.25">
      <c r="A35" t="s">
        <v>30</v>
      </c>
      <c r="E35" s="3">
        <v>0</v>
      </c>
      <c r="G35" s="5"/>
      <c r="H35" t="str">
        <f t="shared" si="1"/>
        <v/>
      </c>
    </row>
    <row r="36" spans="1:8" x14ac:dyDescent="0.25">
      <c r="E36" s="3"/>
      <c r="G36" s="3"/>
    </row>
    <row r="37" spans="1:8" ht="27.6" customHeight="1" x14ac:dyDescent="0.25">
      <c r="A37" s="94" t="s">
        <v>33</v>
      </c>
      <c r="B37" s="94"/>
      <c r="C37" s="94"/>
      <c r="D37" s="33"/>
      <c r="E37" s="6">
        <f>E11-(E32+SUM(E34:E35))</f>
        <v>1363.9955999999997</v>
      </c>
      <c r="F37" s="33"/>
      <c r="G37" s="6">
        <f>G11-(G32+SUM(G34:G35))</f>
        <v>1639.5500000000002</v>
      </c>
    </row>
    <row r="38" spans="1:8" x14ac:dyDescent="0.25">
      <c r="E38" s="3"/>
      <c r="G38" s="3"/>
    </row>
    <row r="39" spans="1:8" ht="15.75" x14ac:dyDescent="0.25">
      <c r="A39" s="65" t="s">
        <v>31</v>
      </c>
      <c r="B39" s="67"/>
      <c r="C39" s="67"/>
      <c r="D39" s="67"/>
      <c r="E39" s="67"/>
      <c r="F39" s="67"/>
      <c r="G39" s="67"/>
    </row>
    <row r="40" spans="1:8" x14ac:dyDescent="0.25">
      <c r="A40" t="s">
        <v>32</v>
      </c>
      <c r="E40" s="3">
        <v>10.73</v>
      </c>
      <c r="G40" s="5"/>
      <c r="H40" t="str">
        <f t="shared" ref="H40:H44" si="2">IF(G40="","",IF(OR(G40&gt;E40*(1+0.5),G40&lt;E40*(1-0.5)),"La valeur saisie diffère grandement des coûts utilisés dans le modèle. Assurez-vous qu'il ne s'agit pas d'une erreur de saisie",""))</f>
        <v/>
      </c>
    </row>
    <row r="41" spans="1:8" x14ac:dyDescent="0.25">
      <c r="A41" t="s">
        <v>34</v>
      </c>
      <c r="E41" s="3">
        <v>0</v>
      </c>
      <c r="G41" s="5"/>
      <c r="H41" t="str">
        <f t="shared" si="2"/>
        <v/>
      </c>
    </row>
    <row r="42" spans="1:8" x14ac:dyDescent="0.25">
      <c r="A42" t="s">
        <v>35</v>
      </c>
      <c r="E42" s="3">
        <v>0</v>
      </c>
      <c r="G42" s="5"/>
      <c r="H42" t="str">
        <f t="shared" si="2"/>
        <v/>
      </c>
    </row>
    <row r="43" spans="1:8" x14ac:dyDescent="0.25">
      <c r="A43" t="s">
        <v>36</v>
      </c>
      <c r="E43" s="3">
        <v>0</v>
      </c>
      <c r="G43" s="5"/>
      <c r="H43" t="str">
        <f t="shared" si="2"/>
        <v/>
      </c>
    </row>
    <row r="44" spans="1:8" x14ac:dyDescent="0.25">
      <c r="A44" t="s">
        <v>37</v>
      </c>
      <c r="E44" s="3">
        <v>63.57</v>
      </c>
      <c r="G44" s="8"/>
      <c r="H44" t="str">
        <f t="shared" si="2"/>
        <v/>
      </c>
    </row>
    <row r="45" spans="1:8" x14ac:dyDescent="0.25">
      <c r="B45" s="1" t="s">
        <v>28</v>
      </c>
      <c r="E45" s="6">
        <f>SUM(E40:E44)</f>
        <v>74.3</v>
      </c>
      <c r="G45" s="6">
        <f>SUM(G40:G44)</f>
        <v>0</v>
      </c>
    </row>
    <row r="46" spans="1:8" x14ac:dyDescent="0.25">
      <c r="E46" s="3"/>
      <c r="G46" s="3"/>
    </row>
    <row r="47" spans="1:8" ht="28.35" customHeight="1" x14ac:dyDescent="0.25">
      <c r="A47" s="94" t="s">
        <v>40</v>
      </c>
      <c r="B47" s="94"/>
      <c r="C47" s="94"/>
      <c r="D47" s="33"/>
      <c r="E47" s="6">
        <f>E37-E45</f>
        <v>1289.6955999999998</v>
      </c>
      <c r="F47" s="33"/>
      <c r="G47" s="6">
        <f>G37-G45</f>
        <v>1639.5500000000002</v>
      </c>
    </row>
    <row r="48" spans="1:8" x14ac:dyDescent="0.25">
      <c r="E48" s="3"/>
      <c r="G48" s="3"/>
    </row>
    <row r="49" spans="1:8" ht="15.75" x14ac:dyDescent="0.25">
      <c r="A49" s="65" t="s">
        <v>195</v>
      </c>
      <c r="B49" s="67"/>
      <c r="C49" s="67"/>
      <c r="D49" s="67"/>
      <c r="E49" s="67"/>
      <c r="F49" s="67"/>
      <c r="G49" s="67"/>
    </row>
    <row r="50" spans="1:8" x14ac:dyDescent="0.25">
      <c r="A50" t="s">
        <v>41</v>
      </c>
      <c r="E50" s="3">
        <v>165.93</v>
      </c>
      <c r="G50" s="5"/>
      <c r="H50" t="str">
        <f t="shared" ref="H50:H52" si="3">IF(G50="","",IF(OR(G50&gt;E50*(1+0.5),G50&lt;E50*(1-0.5)),"La valeur saisie diffère grandement des coûts utilisés dans le modèle. Assurez-vous qu'il ne s'agit pas d'une erreur de saisie",""))</f>
        <v/>
      </c>
    </row>
    <row r="51" spans="1:8" x14ac:dyDescent="0.25">
      <c r="A51" t="s">
        <v>42</v>
      </c>
      <c r="E51" s="3">
        <v>178.96</v>
      </c>
      <c r="G51" s="5"/>
      <c r="H51" t="str">
        <f t="shared" si="3"/>
        <v/>
      </c>
    </row>
    <row r="52" spans="1:8" x14ac:dyDescent="0.25">
      <c r="A52" t="s">
        <v>43</v>
      </c>
      <c r="E52" s="3">
        <v>29.26</v>
      </c>
      <c r="G52" s="5"/>
      <c r="H52" t="str">
        <f t="shared" si="3"/>
        <v/>
      </c>
    </row>
    <row r="53" spans="1:8" x14ac:dyDescent="0.25">
      <c r="B53" s="1" t="s">
        <v>28</v>
      </c>
      <c r="E53" s="4">
        <f>SUM(E50:E52)</f>
        <v>374.15</v>
      </c>
      <c r="G53" s="4">
        <f>SUM(G50:G52)</f>
        <v>0</v>
      </c>
    </row>
    <row r="54" spans="1:8" x14ac:dyDescent="0.25">
      <c r="E54" s="3"/>
      <c r="G54" s="3"/>
    </row>
    <row r="55" spans="1:8" ht="48" customHeight="1" thickBot="1" x14ac:dyDescent="0.3">
      <c r="A55" s="94" t="s">
        <v>185</v>
      </c>
      <c r="B55" s="94"/>
      <c r="C55" s="94"/>
      <c r="D55" s="33"/>
      <c r="E55" s="9">
        <f>E47-E53</f>
        <v>915.54559999999981</v>
      </c>
      <c r="F55" s="33"/>
      <c r="G55" s="9">
        <f>G47-G53</f>
        <v>1639.5500000000002</v>
      </c>
    </row>
    <row r="56" spans="1:8" ht="15.75" thickTop="1" x14ac:dyDescent="0.25"/>
  </sheetData>
  <mergeCells count="3">
    <mergeCell ref="A37:C37"/>
    <mergeCell ref="A47:C47"/>
    <mergeCell ref="A55:C55"/>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1B4F-8D87-4A82-8B18-B57D6991E1B6}">
  <dimension ref="A1:E13"/>
  <sheetViews>
    <sheetView zoomScaleNormal="100" workbookViewId="0">
      <selection activeCell="A13" sqref="A13:E13"/>
    </sheetView>
  </sheetViews>
  <sheetFormatPr baseColWidth="10" defaultColWidth="10.85546875" defaultRowHeight="15" x14ac:dyDescent="0.25"/>
  <cols>
    <col min="1" max="1" width="36.140625" customWidth="1"/>
    <col min="2" max="2" width="14.5703125" bestFit="1" customWidth="1"/>
    <col min="3" max="4" width="12" customWidth="1"/>
  </cols>
  <sheetData>
    <row r="1" spans="1:5" x14ac:dyDescent="0.25">
      <c r="A1" s="90" t="s">
        <v>130</v>
      </c>
      <c r="B1" s="90"/>
      <c r="C1" s="90"/>
      <c r="D1" s="90"/>
      <c r="E1" s="90"/>
    </row>
    <row r="2" spans="1:5" x14ac:dyDescent="0.25">
      <c r="B2" s="35" t="s">
        <v>139</v>
      </c>
      <c r="C2" s="35" t="s">
        <v>140</v>
      </c>
      <c r="D2" s="35" t="s">
        <v>127</v>
      </c>
      <c r="E2" s="35" t="s">
        <v>127</v>
      </c>
    </row>
    <row r="3" spans="1:5" x14ac:dyDescent="0.25">
      <c r="A3" t="s">
        <v>128</v>
      </c>
    </row>
    <row r="4" spans="1:5" x14ac:dyDescent="0.25">
      <c r="A4" s="37" t="s">
        <v>138</v>
      </c>
      <c r="B4">
        <v>40</v>
      </c>
      <c r="C4">
        <v>30.24</v>
      </c>
      <c r="D4">
        <f>ROUND(B4/25*C4,2)</f>
        <v>48.38</v>
      </c>
    </row>
    <row r="5" spans="1:5" x14ac:dyDescent="0.25">
      <c r="A5" s="37" t="s">
        <v>3</v>
      </c>
      <c r="B5">
        <v>20</v>
      </c>
      <c r="C5">
        <v>26.43</v>
      </c>
      <c r="D5">
        <f>ROUND(B5/25*C5,2)</f>
        <v>21.14</v>
      </c>
    </row>
    <row r="6" spans="1:5" x14ac:dyDescent="0.25">
      <c r="A6" s="37" t="s">
        <v>137</v>
      </c>
      <c r="B6">
        <v>3</v>
      </c>
      <c r="C6">
        <v>134.08000000000001</v>
      </c>
      <c r="D6">
        <f>ROUND(B6/25*C6,2)</f>
        <v>16.09</v>
      </c>
    </row>
    <row r="7" spans="1:5" x14ac:dyDescent="0.25">
      <c r="A7" t="s">
        <v>129</v>
      </c>
      <c r="E7">
        <f>SUM(D4:D6)</f>
        <v>85.610000000000014</v>
      </c>
    </row>
    <row r="8" spans="1:5" x14ac:dyDescent="0.25">
      <c r="A8" t="s">
        <v>141</v>
      </c>
      <c r="E8">
        <v>54.45</v>
      </c>
    </row>
    <row r="10" spans="1:5" x14ac:dyDescent="0.25">
      <c r="A10" t="s">
        <v>142</v>
      </c>
      <c r="E10">
        <f>E7+E8</f>
        <v>140.06</v>
      </c>
    </row>
    <row r="13" spans="1:5" ht="59.1" customHeight="1" x14ac:dyDescent="0.25">
      <c r="A13" s="88" t="s">
        <v>147</v>
      </c>
      <c r="B13" s="88"/>
      <c r="C13" s="88"/>
      <c r="D13" s="88"/>
      <c r="E13" s="88"/>
    </row>
  </sheetData>
  <mergeCells count="2">
    <mergeCell ref="A1:E1"/>
    <mergeCell ref="A13:E1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B0033-4961-4677-8705-4148E3CE4ED7}">
  <dimension ref="A1:D8"/>
  <sheetViews>
    <sheetView zoomScale="130" zoomScaleNormal="130" workbookViewId="0">
      <selection activeCell="A10" sqref="A10"/>
    </sheetView>
  </sheetViews>
  <sheetFormatPr baseColWidth="10" defaultColWidth="10.85546875" defaultRowHeight="15" x14ac:dyDescent="0.25"/>
  <cols>
    <col min="1" max="1" width="23.85546875" bestFit="1" customWidth="1"/>
    <col min="2" max="2" width="19.85546875" bestFit="1" customWidth="1"/>
    <col min="3" max="3" width="13.140625" bestFit="1" customWidth="1"/>
    <col min="4" max="4" width="19.85546875" bestFit="1" customWidth="1"/>
  </cols>
  <sheetData>
    <row r="1" spans="1:4" x14ac:dyDescent="0.25">
      <c r="A1" s="1" t="s">
        <v>71</v>
      </c>
      <c r="B1" s="1" t="s">
        <v>68</v>
      </c>
      <c r="C1" s="1" t="s">
        <v>66</v>
      </c>
      <c r="D1" s="1" t="s">
        <v>67</v>
      </c>
    </row>
    <row r="2" spans="1:4" x14ac:dyDescent="0.25">
      <c r="A2" t="s">
        <v>0</v>
      </c>
      <c r="B2">
        <v>0</v>
      </c>
      <c r="C2">
        <v>0</v>
      </c>
      <c r="D2">
        <v>0</v>
      </c>
    </row>
    <row r="3" spans="1:4" x14ac:dyDescent="0.25">
      <c r="A3" t="s">
        <v>1</v>
      </c>
      <c r="B3">
        <v>0</v>
      </c>
      <c r="C3">
        <v>0</v>
      </c>
      <c r="D3">
        <v>0</v>
      </c>
    </row>
    <row r="4" spans="1:4" x14ac:dyDescent="0.25">
      <c r="A4" t="s">
        <v>2</v>
      </c>
      <c r="B4">
        <v>240.5</v>
      </c>
      <c r="C4">
        <v>240.12</v>
      </c>
      <c r="D4">
        <v>3.21</v>
      </c>
    </row>
    <row r="5" spans="1:4" x14ac:dyDescent="0.25">
      <c r="A5" t="s">
        <v>3</v>
      </c>
      <c r="B5">
        <v>272.29000000000002</v>
      </c>
      <c r="C5">
        <v>243.64</v>
      </c>
      <c r="D5">
        <v>2.8</v>
      </c>
    </row>
    <row r="6" spans="1:4" x14ac:dyDescent="0.25">
      <c r="A6" t="s">
        <v>69</v>
      </c>
      <c r="B6">
        <v>277.08999999999997</v>
      </c>
      <c r="C6">
        <v>276.01</v>
      </c>
      <c r="D6">
        <v>3.73</v>
      </c>
    </row>
    <row r="7" spans="1:4" x14ac:dyDescent="0.25">
      <c r="A7" t="s">
        <v>70</v>
      </c>
      <c r="B7">
        <v>257.52999999999997</v>
      </c>
      <c r="C7">
        <v>283.10000000000002</v>
      </c>
      <c r="D7">
        <v>3.56</v>
      </c>
    </row>
    <row r="8" spans="1:4" x14ac:dyDescent="0.25">
      <c r="A8" t="s">
        <v>146</v>
      </c>
      <c r="B8">
        <v>0</v>
      </c>
      <c r="C8">
        <v>0</v>
      </c>
      <c r="D8">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36199-A450-459E-A28B-EF856DFAB310}">
  <dimension ref="A1:B14"/>
  <sheetViews>
    <sheetView workbookViewId="0">
      <selection activeCell="B14" sqref="B14"/>
    </sheetView>
  </sheetViews>
  <sheetFormatPr baseColWidth="10" defaultColWidth="10.85546875" defaultRowHeight="15" x14ac:dyDescent="0.25"/>
  <cols>
    <col min="1" max="1" width="17.85546875" customWidth="1"/>
    <col min="2" max="2" width="29.85546875" customWidth="1"/>
  </cols>
  <sheetData>
    <row r="1" spans="1:2" x14ac:dyDescent="0.25">
      <c r="A1" s="90" t="s">
        <v>44</v>
      </c>
      <c r="B1" s="90"/>
    </row>
    <row r="2" spans="1:2" x14ac:dyDescent="0.25">
      <c r="B2" s="2" t="s">
        <v>50</v>
      </c>
    </row>
    <row r="3" spans="1:2" x14ac:dyDescent="0.25">
      <c r="A3" t="s">
        <v>0</v>
      </c>
      <c r="B3">
        <v>10.9</v>
      </c>
    </row>
    <row r="4" spans="1:2" x14ac:dyDescent="0.25">
      <c r="A4" t="s">
        <v>1</v>
      </c>
      <c r="B4">
        <v>3.9</v>
      </c>
    </row>
    <row r="5" spans="1:2" x14ac:dyDescent="0.25">
      <c r="A5" t="s">
        <v>2</v>
      </c>
      <c r="B5">
        <v>3.8</v>
      </c>
    </row>
    <row r="6" spans="1:2" x14ac:dyDescent="0.25">
      <c r="A6" t="s">
        <v>3</v>
      </c>
      <c r="B6">
        <v>2.8</v>
      </c>
    </row>
    <row r="7" spans="1:2" x14ac:dyDescent="0.25">
      <c r="A7" t="s">
        <v>46</v>
      </c>
      <c r="B7">
        <f>ROUND(B8*1.25,1)</f>
        <v>4.5</v>
      </c>
    </row>
    <row r="8" spans="1:2" x14ac:dyDescent="0.25">
      <c r="A8" t="s">
        <v>47</v>
      </c>
      <c r="B8">
        <v>3.6</v>
      </c>
    </row>
    <row r="9" spans="1:2" x14ac:dyDescent="0.25">
      <c r="A9" t="s">
        <v>146</v>
      </c>
      <c r="B9">
        <v>3.2</v>
      </c>
    </row>
    <row r="10" spans="1:2" x14ac:dyDescent="0.25">
      <c r="A10" t="s">
        <v>107</v>
      </c>
      <c r="B10" s="56">
        <f>B7+1</f>
        <v>5.5</v>
      </c>
    </row>
    <row r="12" spans="1:2" x14ac:dyDescent="0.25">
      <c r="A12" s="1" t="s">
        <v>52</v>
      </c>
      <c r="B12" t="str">
        <f>Saisies!B1&amp;" "&amp;Saisies!B2</f>
        <v>Centrale Conventionnelle</v>
      </c>
    </row>
    <row r="14" spans="1:2" x14ac:dyDescent="0.25">
      <c r="A14" s="78"/>
      <c r="B14" s="78"/>
    </row>
  </sheetData>
  <mergeCells count="1">
    <mergeCell ref="A1:B1"/>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78EEC-E432-4E98-A6F6-E843FCD512EB}">
  <dimension ref="A1:B12"/>
  <sheetViews>
    <sheetView workbookViewId="0">
      <selection activeCell="B14" sqref="B14"/>
    </sheetView>
  </sheetViews>
  <sheetFormatPr baseColWidth="10" defaultColWidth="10.85546875" defaultRowHeight="15" x14ac:dyDescent="0.25"/>
  <cols>
    <col min="1" max="1" width="17.42578125" customWidth="1"/>
    <col min="2" max="2" width="22.42578125" bestFit="1" customWidth="1"/>
  </cols>
  <sheetData>
    <row r="1" spans="1:2" x14ac:dyDescent="0.25">
      <c r="A1" s="90" t="s">
        <v>45</v>
      </c>
      <c r="B1" s="90"/>
    </row>
    <row r="2" spans="1:2" x14ac:dyDescent="0.25">
      <c r="B2" s="2" t="s">
        <v>50</v>
      </c>
    </row>
    <row r="3" spans="1:2" x14ac:dyDescent="0.25">
      <c r="A3" t="s">
        <v>0</v>
      </c>
      <c r="B3" s="3">
        <v>341</v>
      </c>
    </row>
    <row r="4" spans="1:2" x14ac:dyDescent="0.25">
      <c r="A4" t="s">
        <v>1</v>
      </c>
      <c r="B4" s="3">
        <v>580</v>
      </c>
    </row>
    <row r="5" spans="1:2" x14ac:dyDescent="0.25">
      <c r="A5" t="s">
        <v>2</v>
      </c>
      <c r="B5" s="3">
        <v>275</v>
      </c>
    </row>
    <row r="6" spans="1:2" x14ac:dyDescent="0.25">
      <c r="A6" t="s">
        <v>3</v>
      </c>
      <c r="B6" s="3">
        <v>278</v>
      </c>
    </row>
    <row r="7" spans="1:2" x14ac:dyDescent="0.25">
      <c r="A7" t="s">
        <v>46</v>
      </c>
      <c r="B7" s="3">
        <v>366</v>
      </c>
    </row>
    <row r="8" spans="1:2" x14ac:dyDescent="0.25">
      <c r="A8" t="s">
        <v>47</v>
      </c>
      <c r="B8" s="3">
        <v>366</v>
      </c>
    </row>
    <row r="9" spans="1:2" x14ac:dyDescent="0.25">
      <c r="A9" t="s">
        <v>146</v>
      </c>
      <c r="B9" s="3">
        <f>ROUND(B7*0.75,0)</f>
        <v>275</v>
      </c>
    </row>
    <row r="10" spans="1:2" x14ac:dyDescent="0.25">
      <c r="A10" t="s">
        <v>107</v>
      </c>
      <c r="B10" s="3">
        <f>ROUND(B7*0.75,0)</f>
        <v>275</v>
      </c>
    </row>
    <row r="12" spans="1:2" x14ac:dyDescent="0.25">
      <c r="A12" s="1" t="s">
        <v>53</v>
      </c>
      <c r="B12" t="str">
        <f>Saisies!B1&amp;" "&amp;Saisies!B2</f>
        <v>Centrale Conventionnelle</v>
      </c>
    </row>
  </sheetData>
  <mergeCells count="1">
    <mergeCell ref="A1:B1"/>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39D80-73E6-4C99-9475-E2E6B7935F86}">
  <dimension ref="A1:BV52"/>
  <sheetViews>
    <sheetView workbookViewId="0"/>
  </sheetViews>
  <sheetFormatPr baseColWidth="10" defaultColWidth="10.85546875" defaultRowHeight="15" x14ac:dyDescent="0.25"/>
  <cols>
    <col min="1" max="3" width="13.140625" customWidth="1"/>
    <col min="4" max="5" width="11.5703125" customWidth="1"/>
    <col min="6" max="6" width="2.5703125" customWidth="1"/>
    <col min="7" max="8" width="11.5703125" customWidth="1"/>
    <col min="9" max="9" width="2.5703125" customWidth="1"/>
    <col min="10" max="11" width="11.5703125" customWidth="1"/>
    <col min="12" max="12" width="2.5703125" customWidth="1"/>
    <col min="13" max="14" width="11.5703125" customWidth="1"/>
    <col min="15" max="15" width="2.5703125" customWidth="1"/>
    <col min="16" max="17" width="11.5703125" customWidth="1"/>
    <col min="18" max="18" width="2.5703125" customWidth="1"/>
    <col min="19" max="20" width="11.5703125" customWidth="1"/>
    <col min="21" max="21" width="2.5703125" customWidth="1"/>
    <col min="22" max="23" width="11.5703125" customWidth="1"/>
    <col min="24" max="24" width="2.5703125" customWidth="1"/>
    <col min="25" max="26" width="11.5703125" customWidth="1"/>
    <col min="27" max="27" width="2.5703125" customWidth="1"/>
    <col min="30" max="30" width="2.5703125" customWidth="1"/>
    <col min="33" max="33" width="2.5703125" customWidth="1"/>
    <col min="36" max="36" width="2.5703125" customWidth="1"/>
    <col min="39" max="39" width="2.5703125" customWidth="1"/>
    <col min="42" max="42" width="2.5703125" customWidth="1"/>
    <col min="45" max="45" width="2.5703125" customWidth="1"/>
    <col min="46" max="47" width="11.5703125" customWidth="1"/>
    <col min="48" max="48" width="2.5703125" customWidth="1"/>
    <col min="49" max="50" width="11.5703125" customWidth="1"/>
    <col min="51" max="51" width="2.5703125" customWidth="1"/>
    <col min="54" max="54" width="2.5703125" customWidth="1"/>
    <col min="57" max="57" width="2.5703125" customWidth="1"/>
    <col min="60" max="60" width="2.5703125" customWidth="1"/>
    <col min="63" max="63" width="2.5703125" customWidth="1"/>
    <col min="66" max="66" width="2.5703125" customWidth="1"/>
    <col min="69" max="69" width="2.5703125" customWidth="1"/>
    <col min="70" max="71" width="11.5703125" customWidth="1"/>
    <col min="72" max="72" width="2.5703125" customWidth="1"/>
    <col min="73" max="74" width="11.5703125" customWidth="1"/>
  </cols>
  <sheetData>
    <row r="1" spans="1:74" x14ac:dyDescent="0.25">
      <c r="D1" s="90" t="s">
        <v>144</v>
      </c>
      <c r="E1" s="90"/>
      <c r="F1" s="90"/>
      <c r="G1" s="90"/>
      <c r="H1" s="90"/>
      <c r="I1" s="90"/>
      <c r="J1" s="90"/>
      <c r="K1" s="90"/>
      <c r="L1" s="90"/>
      <c r="M1" s="90"/>
      <c r="N1" s="90"/>
      <c r="O1" s="90"/>
      <c r="P1" s="90"/>
      <c r="Q1" s="90"/>
      <c r="R1" s="90"/>
      <c r="S1" s="90"/>
      <c r="T1" s="90"/>
      <c r="U1" s="2"/>
      <c r="V1" s="2"/>
      <c r="W1" s="2"/>
      <c r="X1" s="2"/>
      <c r="Y1" s="2"/>
      <c r="Z1" s="2"/>
      <c r="AA1" s="51"/>
      <c r="AB1" s="95" t="s">
        <v>145</v>
      </c>
      <c r="AC1" s="90"/>
      <c r="AD1" s="90"/>
      <c r="AE1" s="90"/>
      <c r="AF1" s="90"/>
      <c r="AG1" s="90"/>
      <c r="AH1" s="90"/>
      <c r="AI1" s="90"/>
      <c r="AJ1" s="90"/>
      <c r="AK1" s="90"/>
      <c r="AL1" s="90"/>
      <c r="AM1" s="90"/>
      <c r="AN1" s="90"/>
      <c r="AO1" s="90"/>
      <c r="AP1" s="90"/>
      <c r="AQ1" s="90"/>
      <c r="AR1" s="90"/>
      <c r="AS1" s="2"/>
      <c r="AT1" s="2"/>
      <c r="AU1" s="2"/>
      <c r="AV1" s="2"/>
      <c r="AW1" s="2"/>
      <c r="AX1" s="2"/>
      <c r="AY1" s="51"/>
      <c r="AZ1" s="95" t="s">
        <v>150</v>
      </c>
      <c r="BA1" s="90"/>
      <c r="BB1" s="90"/>
      <c r="BC1" s="90"/>
      <c r="BD1" s="90"/>
      <c r="BE1" s="90"/>
      <c r="BF1" s="90"/>
      <c r="BG1" s="90"/>
      <c r="BH1" s="90"/>
      <c r="BI1" s="90"/>
      <c r="BJ1" s="90"/>
      <c r="BK1" s="90"/>
      <c r="BL1" s="90"/>
      <c r="BM1" s="90"/>
      <c r="BN1" s="90"/>
      <c r="BO1" s="90"/>
      <c r="BP1" s="90"/>
      <c r="BQ1" s="2"/>
      <c r="BR1" s="2"/>
      <c r="BS1" s="2"/>
      <c r="BT1" s="2"/>
      <c r="BU1" s="2"/>
      <c r="BV1" s="2"/>
    </row>
    <row r="2" spans="1:74" x14ac:dyDescent="0.25">
      <c r="D2" s="2" t="str">
        <f>Saisies!B1</f>
        <v>Centrale</v>
      </c>
      <c r="E2" s="2" t="s">
        <v>72</v>
      </c>
      <c r="G2" s="2" t="str">
        <f>D2</f>
        <v>Centrale</v>
      </c>
      <c r="H2" s="2" t="s">
        <v>72</v>
      </c>
      <c r="J2" s="2" t="str">
        <f>G2</f>
        <v>Centrale</v>
      </c>
      <c r="K2" s="2" t="s">
        <v>72</v>
      </c>
      <c r="M2" s="2" t="str">
        <f>J2</f>
        <v>Centrale</v>
      </c>
      <c r="N2" s="2" t="s">
        <v>72</v>
      </c>
      <c r="P2" s="2" t="str">
        <f>M2</f>
        <v>Centrale</v>
      </c>
      <c r="Q2" s="2" t="s">
        <v>72</v>
      </c>
      <c r="S2" s="2" t="str">
        <f>P2</f>
        <v>Centrale</v>
      </c>
      <c r="T2" s="2" t="s">
        <v>72</v>
      </c>
      <c r="V2" s="2" t="s">
        <v>7</v>
      </c>
      <c r="W2" s="2" t="s">
        <v>72</v>
      </c>
      <c r="Y2" s="2" t="s">
        <v>7</v>
      </c>
      <c r="Z2" s="2" t="s">
        <v>72</v>
      </c>
      <c r="AA2" s="51"/>
      <c r="AB2" s="38" t="str">
        <f>D2</f>
        <v>Centrale</v>
      </c>
      <c r="AC2" s="2" t="s">
        <v>72</v>
      </c>
      <c r="AE2" s="2" t="str">
        <f>AB2</f>
        <v>Centrale</v>
      </c>
      <c r="AF2" s="2" t="s">
        <v>72</v>
      </c>
      <c r="AH2" s="2" t="str">
        <f>AE2</f>
        <v>Centrale</v>
      </c>
      <c r="AI2" s="2" t="s">
        <v>72</v>
      </c>
      <c r="AK2" s="2" t="str">
        <f>AH2</f>
        <v>Centrale</v>
      </c>
      <c r="AL2" s="2" t="s">
        <v>72</v>
      </c>
      <c r="AN2" s="2" t="str">
        <f>AK2</f>
        <v>Centrale</v>
      </c>
      <c r="AO2" s="2" t="s">
        <v>72</v>
      </c>
      <c r="AQ2" s="2" t="str">
        <f>AN2</f>
        <v>Centrale</v>
      </c>
      <c r="AR2" s="2" t="s">
        <v>72</v>
      </c>
      <c r="AT2" s="2" t="str">
        <f>AQ2</f>
        <v>Centrale</v>
      </c>
      <c r="AU2" s="2" t="str">
        <f>AR2</f>
        <v>Votre ferme</v>
      </c>
      <c r="AW2" s="2" t="str">
        <f>AT2</f>
        <v>Centrale</v>
      </c>
      <c r="AX2" s="2" t="str">
        <f>AU2</f>
        <v>Votre ferme</v>
      </c>
      <c r="AY2" s="51"/>
      <c r="AZ2" s="38" t="str">
        <f>AB2</f>
        <v>Centrale</v>
      </c>
      <c r="BA2" s="2" t="s">
        <v>72</v>
      </c>
      <c r="BC2" s="2" t="str">
        <f>AZ2</f>
        <v>Centrale</v>
      </c>
      <c r="BD2" s="2" t="s">
        <v>72</v>
      </c>
      <c r="BF2" s="2" t="str">
        <f>BC2</f>
        <v>Centrale</v>
      </c>
      <c r="BG2" s="2" t="s">
        <v>72</v>
      </c>
      <c r="BI2" s="2" t="str">
        <f>BF2</f>
        <v>Centrale</v>
      </c>
      <c r="BJ2" s="2" t="s">
        <v>72</v>
      </c>
      <c r="BL2" s="2" t="str">
        <f>BI2</f>
        <v>Centrale</v>
      </c>
      <c r="BM2" s="2" t="s">
        <v>72</v>
      </c>
      <c r="BO2" s="2" t="str">
        <f>BL2</f>
        <v>Centrale</v>
      </c>
      <c r="BP2" s="2" t="s">
        <v>72</v>
      </c>
      <c r="BR2" s="2" t="str">
        <f>BO2</f>
        <v>Centrale</v>
      </c>
      <c r="BS2" s="2" t="str">
        <f>BP2</f>
        <v>Votre ferme</v>
      </c>
      <c r="BU2" s="2" t="str">
        <f>BR2</f>
        <v>Centrale</v>
      </c>
      <c r="BV2" s="2" t="str">
        <f>BS2</f>
        <v>Votre ferme</v>
      </c>
    </row>
    <row r="3" spans="1:74" ht="15.75" x14ac:dyDescent="0.25">
      <c r="D3" s="30" t="s">
        <v>0</v>
      </c>
      <c r="E3" s="29" t="s">
        <v>0</v>
      </c>
      <c r="G3" s="30" t="s">
        <v>1</v>
      </c>
      <c r="H3" s="29" t="s">
        <v>1</v>
      </c>
      <c r="J3" s="30" t="s">
        <v>2</v>
      </c>
      <c r="K3" s="29" t="s">
        <v>2</v>
      </c>
      <c r="M3" s="30" t="s">
        <v>3</v>
      </c>
      <c r="N3" s="29" t="s">
        <v>3</v>
      </c>
      <c r="P3" s="30" t="s">
        <v>46</v>
      </c>
      <c r="Q3" s="29" t="str">
        <f>P3</f>
        <v>Blé d'automne</v>
      </c>
      <c r="S3" s="30" t="s">
        <v>47</v>
      </c>
      <c r="T3" s="29" t="s">
        <v>47</v>
      </c>
      <c r="V3" s="30" t="s">
        <v>146</v>
      </c>
      <c r="W3" s="29" t="s">
        <v>146</v>
      </c>
      <c r="Y3" s="30" t="s">
        <v>107</v>
      </c>
      <c r="Z3" s="29" t="s">
        <v>107</v>
      </c>
      <c r="AA3" s="51"/>
      <c r="AB3" s="39" t="s">
        <v>0</v>
      </c>
      <c r="AC3" s="29" t="s">
        <v>0</v>
      </c>
      <c r="AE3" s="30" t="s">
        <v>1</v>
      </c>
      <c r="AF3" s="29" t="s">
        <v>1</v>
      </c>
      <c r="AH3" s="30" t="s">
        <v>2</v>
      </c>
      <c r="AI3" s="29" t="s">
        <v>2</v>
      </c>
      <c r="AK3" s="30" t="s">
        <v>3</v>
      </c>
      <c r="AL3" s="29" t="s">
        <v>3</v>
      </c>
      <c r="AN3" s="30" t="s">
        <v>46</v>
      </c>
      <c r="AO3" s="29" t="str">
        <f>AN3</f>
        <v>Blé d'automne</v>
      </c>
      <c r="AQ3" s="30" t="s">
        <v>47</v>
      </c>
      <c r="AR3" s="29" t="s">
        <v>47</v>
      </c>
      <c r="AT3" s="30" t="s">
        <v>146</v>
      </c>
      <c r="AU3" s="29" t="s">
        <v>146</v>
      </c>
      <c r="AW3" s="30" t="s">
        <v>107</v>
      </c>
      <c r="AX3" s="29" t="s">
        <v>107</v>
      </c>
      <c r="AY3" s="51"/>
      <c r="AZ3" s="39" t="s">
        <v>0</v>
      </c>
      <c r="BA3" s="29" t="s">
        <v>0</v>
      </c>
      <c r="BC3" s="30" t="s">
        <v>1</v>
      </c>
      <c r="BD3" s="29" t="s">
        <v>1</v>
      </c>
      <c r="BF3" s="30" t="s">
        <v>2</v>
      </c>
      <c r="BG3" s="29" t="s">
        <v>2</v>
      </c>
      <c r="BI3" s="30" t="s">
        <v>3</v>
      </c>
      <c r="BJ3" s="29" t="s">
        <v>3</v>
      </c>
      <c r="BL3" s="30" t="s">
        <v>46</v>
      </c>
      <c r="BM3" s="29" t="str">
        <f>BL3</f>
        <v>Blé d'automne</v>
      </c>
      <c r="BO3" s="30" t="s">
        <v>47</v>
      </c>
      <c r="BP3" s="29" t="s">
        <v>47</v>
      </c>
      <c r="BR3" s="30" t="s">
        <v>146</v>
      </c>
      <c r="BS3" s="29" t="s">
        <v>146</v>
      </c>
      <c r="BU3" s="30" t="s">
        <v>107</v>
      </c>
      <c r="BV3" s="29" t="s">
        <v>107</v>
      </c>
    </row>
    <row r="4" spans="1:74" x14ac:dyDescent="0.25">
      <c r="A4" s="1" t="s">
        <v>12</v>
      </c>
      <c r="AA4" s="51"/>
      <c r="AB4" s="40"/>
      <c r="AY4" s="51"/>
      <c r="AZ4" s="40"/>
    </row>
    <row r="5" spans="1:74" x14ac:dyDescent="0.25">
      <c r="A5" t="s">
        <v>73</v>
      </c>
      <c r="D5" s="3">
        <f>'Maïs-grain'!E4*(1+Saisies!B39*Saisies!B59)</f>
        <v>3716.9</v>
      </c>
      <c r="E5" s="3">
        <f>IF('Maïs-grain'!G4="",'Intermédiaire_Prod-Résultats'!D5,'Maïs-grain'!G4)*(1+IF(Saisies!C39="",Saisies!B39,Saisies!C39)*IF(Saisies!C59="",Saisies!B59,Saisies!C59))</f>
        <v>3716.9</v>
      </c>
      <c r="G5" s="3">
        <f>Soya!E4*(1+Saisies!B40*Saisies!B59)</f>
        <v>2262</v>
      </c>
      <c r="H5" s="3">
        <f>IF(Soya!G4="",'Intermédiaire_Prod-Résultats'!G5,Soya!G4)*(1+IF(Saisies!C40="",Saisies!B40,Saisies!C40)*IF(Saisies!C59="",Saisies!B59,Saisies!C59))</f>
        <v>2262</v>
      </c>
      <c r="J5" s="3">
        <f>Orge!E4*(1+Saisies!B41*Saisies!B59)</f>
        <v>1045</v>
      </c>
      <c r="K5" s="3">
        <f>IF(Orge!G4="",'Intermédiaire_Prod-Résultats'!J5,Orge!G4)*(1+IF(Saisies!C41="",Saisies!B41,Saisies!C41)*IF(Saisies!C59="",Saisies!B59,Saisies!C59))</f>
        <v>1045</v>
      </c>
      <c r="M5" s="3">
        <f>Avoine!E4*(1+Saisies!B42*Saisies!B59)</f>
        <v>778.4</v>
      </c>
      <c r="N5" s="3">
        <f>IF(Avoine!G4="",'Intermédiaire_Prod-Résultats'!M5,Avoine!G4)*(1+IF(Saisies!C42="",Saisies!B42,Saisies!C42)*IF(Saisies!C59="",Saisies!B59,Saisies!C59))</f>
        <v>778.4</v>
      </c>
      <c r="P5" s="3">
        <f>'Blé_d''automne'!E4*(1+Saisies!B44*Saisies!B59)</f>
        <v>1647</v>
      </c>
      <c r="Q5" s="3">
        <f>IF('Blé_d''automne'!G4="",'Intermédiaire_Prod-Résultats'!P5,'Blé_d''automne'!G4)*(1+IF(Saisies!C44="",Saisies!B44,Saisies!C44)*IF(Saisies!C59="",Saisies!B59,Saisies!C59))</f>
        <v>1647</v>
      </c>
      <c r="S5" s="3">
        <f>Blé_printemps!E4*(1+Saisies!B43*Saisies!B59)</f>
        <v>1317.6000000000001</v>
      </c>
      <c r="T5" s="3">
        <f>IF(Blé_printemps!G4="",'Intermédiaire_Prod-Résultats'!S5,Blé_printemps!G4)*(1+IF(Saisies!C43="",Saisies!B43,Saisies!C43)*IF(Saisies!C59="",Saisies!B59,Saisies!C59))</f>
        <v>1317.6000000000001</v>
      </c>
      <c r="V5" s="3">
        <f>Seigle!E4*(1+Saisies!B45*Saisies!B59)</f>
        <v>880</v>
      </c>
      <c r="W5" s="3">
        <f>IF(Seigle!G4="",'Intermédiaire_Prod-Résultats'!V5,Seigle!G4)*(1+IF(Saisies!C45="",Saisies!B45,Saisies!C45)*IF(Saisies!C59="",Saisies!B59,Saisies!C59))</f>
        <v>880</v>
      </c>
      <c r="Y5" s="3">
        <f>Seigle_hybride!E4*(1+Saisies!B46*Saisies!B59)</f>
        <v>1512.5</v>
      </c>
      <c r="Z5" s="3">
        <f>IF(Seigle_hybride!G4="",'Intermédiaire_Prod-Résultats'!Y5,Seigle_hybride!G4)*(1+IF(Saisies!C46="",Saisies!B46,Saisies!C46)*IF(Saisies!C59="",Saisies!B59,Saisies!C59))</f>
        <v>1512.5</v>
      </c>
      <c r="AA5" s="51"/>
      <c r="AB5" s="41">
        <f>'Maïs-grain'!E4*(1+Saisies!B39*Saisies!B60)</f>
        <v>3939.9140000000002</v>
      </c>
      <c r="AC5" s="3">
        <f>IF('Maïs-grain'!G4="",IF(Saisies!C8="",Saisies!B8,Saisies!C8)*IF(Saisies!C21="",Saisies!B21,Saisies!C21),'Maïs-grain'!G4)*(1+IF(Saisies!C39="",Saisies!B39,Saisies!C39)*IF(Saisies!C60="",Saisies!B60,Saisies!C60))</f>
        <v>3939.9140000000002</v>
      </c>
      <c r="AE5" s="3">
        <f>Soya!E4*(1+Saisies!B40*Saisies!B60)</f>
        <v>2375.1</v>
      </c>
      <c r="AF5" s="3">
        <f>IF(Soya!G4="",IF(Saisies!C9="",Saisies!B9,Saisies!C9)*IF(Saisies!C22="",Saisies!B22,Saisies!C22),Soya!G4)*(1+IF(Saisies!C40="",Saisies!B40,Saisies!C40)*IF(Saisies!C60="",Saisies!B60,Saisies!C60))</f>
        <v>2375.1</v>
      </c>
      <c r="AH5" s="3">
        <f>Orge!E4*(1+Saisies!B41*Saisies!B60)</f>
        <v>1102.4749999999999</v>
      </c>
      <c r="AI5" s="3">
        <f>IF(Orge!G4="",IF(Saisies!C10="",Saisies!B10,Saisies!C10)*IF(Saisies!C23="",Saisies!B23,Saisies!C23),Orge!G4)*(1+IF(Saisies!C41="",Saisies!B41,Saisies!C41)*IF(Saisies!C60="",Saisies!B60,Saisies!C60))</f>
        <v>1102.4749999999999</v>
      </c>
      <c r="AK5" s="3">
        <f>Avoine!E4*(1+Saisies!B42*Saisies!B60)</f>
        <v>821.21199999999988</v>
      </c>
      <c r="AL5" s="3">
        <f>IF(Avoine!G4="",IF(Saisies!C11="",Saisies!B11,Saisies!C11)*IF(Saisies!C24="",Saisies!B24,Saisies!C24),Avoine!G4)*(1+IF(Saisies!C42="",Saisies!B42,Saisies!C42)*IF(Saisies!C60="",Saisies!B60,Saisies!C60))</f>
        <v>821.21199999999988</v>
      </c>
      <c r="AN5" s="3">
        <f>'Blé_d''automne'!E4*(1+Saisies!B44*Saisies!B60)</f>
        <v>1737.5849999999998</v>
      </c>
      <c r="AO5" s="3">
        <f>IF('Blé_d''automne'!G4="",IF(Saisies!C13="",Saisies!B13,Saisies!C13)*IF(Saisies!C26="",Saisies!B26,Saisies!C26),'Blé_d''automne'!G4)*(1+IF(Saisies!C44="",Saisies!B44,Saisies!C44)*IF(Saisies!C60="",Saisies!B60,Saisies!C60))</f>
        <v>1737.5849999999998</v>
      </c>
      <c r="AQ5" s="3">
        <f>Blé_printemps!E4*(1+Saisies!B43*Saisies!B60)</f>
        <v>1390.068</v>
      </c>
      <c r="AR5" s="3">
        <f>IF(Blé_printemps!G4="",IF(Saisies!C12="",Saisies!B12,Saisies!C12)*IF(Saisies!C25="",Saisies!B25,Saisies!C25),Blé_printemps!G4)*(1+IF(Saisies!C43="",Saisies!B43,Saisies!C43)*IF(Saisies!C60="",Saisies!B60,Saisies!C60))</f>
        <v>1390.068</v>
      </c>
      <c r="AT5" s="3">
        <f>Seigle!E4*(1+Saisies!B45*Saisies!B60)</f>
        <v>928.4</v>
      </c>
      <c r="AU5" s="3">
        <f>IF(Seigle!G4="",IF(Saisies!C14="",Saisies!B14,Saisies!C14)*IF(Saisies!C27="",Saisies!B27,Saisies!C27),Seigle!G4)*(1+IF(Saisies!C45="",Saisies!B45,Saisies!C45)*IF(Saisies!C60="",Saisies!B60,Saisies!C60))</f>
        <v>928.4</v>
      </c>
      <c r="AW5" s="3">
        <f>Seigle_hybride!E4*(1+Saisies!B46*Saisies!B60)</f>
        <v>1595.6875</v>
      </c>
      <c r="AX5" s="3">
        <f>IF(Seigle_hybride!G4="",IF(Saisies!C15="",Saisies!B15,Saisies!C15)*IF(Saisies!C28="",Saisies!B28,Saisies!C28),Seigle_hybride!G4)*(1+IF(Saisies!C46="",Saisies!B46,Saisies!C46)*IF(Saisies!C60="",Saisies!B60,Saisies!C60))</f>
        <v>1595.6875</v>
      </c>
      <c r="AY5" s="51"/>
      <c r="AZ5" s="41">
        <f>'Maïs-grain'!E4*(1+Saisies!B39*Saisies!B61)</f>
        <v>4162.9280000000008</v>
      </c>
      <c r="BA5" s="3">
        <f>IF('Maïs-grain'!G4="",IF(Saisies!C8="",Saisies!B8,Saisies!C8)*IF(Saisies!C21="",Saisies!B21,Saisies!C21),'Maïs-grain'!G4)*(1+IF(Saisies!C39="",Saisies!B39,Saisies!C39)*IF(Saisies!C61="",Saisies!B61,Saisies!C61))</f>
        <v>4162.9280000000008</v>
      </c>
      <c r="BC5" s="3">
        <f>Soya!E4*(1+Saisies!B40*Saisies!B61)</f>
        <v>2488.2000000000003</v>
      </c>
      <c r="BD5" s="3">
        <f>IF(Soya!G4="",IF(Saisies!C9="",Saisies!B9,Saisies!C9)*IF(Saisies!C22="",Saisies!B22,Saisies!C22),Soya!G4)*(1+IF(Saisies!C40="",Saisies!B40,Saisies!C40)*IF(Saisies!C61="",Saisies!B61,Saisies!C61))</f>
        <v>2488.2000000000003</v>
      </c>
      <c r="BF5" s="3">
        <f>Orge!E4*(1+Saisies!B41*Saisies!B61)</f>
        <v>1159.95</v>
      </c>
      <c r="BG5" s="3">
        <f>IF(Orge!G4="",IF(Saisies!C10="",Saisies!B10,Saisies!C10)*IF(Saisies!C23="",Saisies!B23,Saisies!C23),Orge!G4)*(1+IF(Saisies!C41="",Saisies!B41,Saisies!C41)*IF(Saisies!C61="",Saisies!B61,Saisies!C61))</f>
        <v>1159.95</v>
      </c>
      <c r="BI5" s="3">
        <f>Avoine!E4*(1+Saisies!B42*Saisies!B61)</f>
        <v>864.024</v>
      </c>
      <c r="BJ5" s="3">
        <f>IF(Avoine!G4="",IF(Saisies!C11="",Saisies!B11,Saisies!C11)*IF(Saisies!C24="",Saisies!B24,Saisies!C24),Avoine!G4)*(1+IF(Saisies!C42="",Saisies!B42,Saisies!C42)*IF(Saisies!C61="",Saisies!B61,Saisies!C61))</f>
        <v>864.024</v>
      </c>
      <c r="BL5" s="3">
        <f>'Blé_d''automne'!E4*(1+Saisies!B44*Saisies!B61)</f>
        <v>1828.17</v>
      </c>
      <c r="BM5" s="3">
        <f>IF('Blé_d''automne'!G4="",IF(Saisies!C13="",Saisies!B13,Saisies!C13)*IF(Saisies!C26="",Saisies!B26,Saisies!C26),'Blé_d''automne'!G4)*(1+IF(Saisies!C44="",Saisies!B44,Saisies!C44)*IF(Saisies!C61="",Saisies!B61,Saisies!C61))</f>
        <v>1828.17</v>
      </c>
      <c r="BO5" s="3">
        <f>Blé_printemps!E4*(1+Saisies!B43*Saisies!B61)</f>
        <v>1462.5360000000003</v>
      </c>
      <c r="BP5" s="3">
        <f>IF(Blé_printemps!G4="",IF(Saisies!C12="",Saisies!B12,Saisies!C12)*IF(Saisies!C25="",Saisies!B25,Saisies!C25),Blé_printemps!G4)*(1+IF(Saisies!C43="",Saisies!B43,Saisies!C43)*IF(Saisies!C61="",Saisies!B61,Saisies!C61))</f>
        <v>1462.5360000000003</v>
      </c>
      <c r="BR5" s="3">
        <f>Seigle!E4*(1+Saisies!B45*Saisies!B61)</f>
        <v>976.80000000000007</v>
      </c>
      <c r="BS5" s="3">
        <f>IF(Seigle!G4="",IF(Saisies!C14="",Saisies!B14,Saisies!C14)*IF(Saisies!C27="",Saisies!B27,Saisies!C27),Seigle!G4)*(1+IF(Saisies!C45="",Saisies!B45,Saisies!C45)*IF(Saisies!C61="",Saisies!B61,Saisies!C61))</f>
        <v>976.80000000000007</v>
      </c>
      <c r="BU5" s="3">
        <f>Seigle_hybride!E4*(1+Saisies!B46*Saisies!B61)</f>
        <v>1678.8750000000002</v>
      </c>
      <c r="BV5" s="3">
        <f>IF(Seigle_hybride!G4="",IF(Saisies!C15="",Saisies!B15,Saisies!C15)*IF(Saisies!C28="",Saisies!B28,Saisies!C28),Seigle_hybride!G4)*(1+IF(Saisies!C46="",Saisies!B46,Saisies!C46)*IF(Saisies!C61="",Saisies!B61,Saisies!C61))</f>
        <v>1678.8750000000002</v>
      </c>
    </row>
    <row r="6" spans="1:74" x14ac:dyDescent="0.25">
      <c r="A6" t="s">
        <v>11</v>
      </c>
      <c r="D6" s="3">
        <f>'Maïs-grain'!E5</f>
        <v>0</v>
      </c>
      <c r="E6" s="3">
        <f>IF('Maïs-grain'!G5="",'Intermédiaire_Prod-Résultats'!D6,'Maïs-grain'!G5)</f>
        <v>0</v>
      </c>
      <c r="G6" s="3">
        <f>Soya!E5</f>
        <v>0</v>
      </c>
      <c r="H6" s="3">
        <f>IF(Soya!G5="",'Intermédiaire_Prod-Résultats'!G6,Soya!G5)</f>
        <v>0</v>
      </c>
      <c r="J6" s="3">
        <f>Orge!E5</f>
        <v>0</v>
      </c>
      <c r="K6" s="3">
        <f>IF(Orge!G5="",'Intermédiaire_Prod-Résultats'!J6,Orge!G5)</f>
        <v>0</v>
      </c>
      <c r="M6" s="3">
        <f>Avoine!E5</f>
        <v>0</v>
      </c>
      <c r="N6" s="3">
        <f>IF(Avoine!G5="",'Intermédiaire_Prod-Résultats'!M6,Avoine!G5)</f>
        <v>0</v>
      </c>
      <c r="P6" s="3">
        <f>'Blé_d''automne'!E5</f>
        <v>0</v>
      </c>
      <c r="Q6" s="3">
        <f>IF('Blé_d''automne'!G5="",'Intermédiaire_Prod-Résultats'!P6,'Blé_d''automne'!G5)</f>
        <v>0</v>
      </c>
      <c r="S6" s="3">
        <f>Blé_printemps!E5</f>
        <v>0</v>
      </c>
      <c r="T6" s="3">
        <f>IF(Blé_printemps!G5="",'Intermédiaire_Prod-Résultats'!S6,Blé_printemps!G5)</f>
        <v>0</v>
      </c>
      <c r="V6" s="3">
        <f>Seigle!E5</f>
        <v>0</v>
      </c>
      <c r="W6" s="3">
        <f>IF(Seigle!G5="",'Intermédiaire_Prod-Résultats'!V6,Seigle!G5)</f>
        <v>0</v>
      </c>
      <c r="Y6" s="3">
        <f>Seigle_hybride!E5</f>
        <v>0</v>
      </c>
      <c r="Z6" s="3">
        <f>IF(Seigle_hybride!G5="",'Intermédiaire_Prod-Résultats'!Y6,Seigle_hybride!G5)</f>
        <v>0</v>
      </c>
      <c r="AA6" s="51"/>
      <c r="AB6" s="41">
        <f>'Maïs-grain'!E5</f>
        <v>0</v>
      </c>
      <c r="AC6" s="3">
        <f>IF('Maïs-grain'!G5="",'Intermédiaire_Prod-Résultats'!AB6,'Maïs-grain'!G5)</f>
        <v>0</v>
      </c>
      <c r="AE6" s="3">
        <f>Soya!E5</f>
        <v>0</v>
      </c>
      <c r="AF6" s="3">
        <f>IF(Soya!G5="",'Intermédiaire_Prod-Résultats'!AE6,Soya!G5)</f>
        <v>0</v>
      </c>
      <c r="AH6" s="3">
        <f>Orge!E5</f>
        <v>0</v>
      </c>
      <c r="AI6" s="3">
        <f>IF(Orge!G5="",'Intermédiaire_Prod-Résultats'!AH6,Orge!G5)</f>
        <v>0</v>
      </c>
      <c r="AK6" s="3">
        <f>Avoine!E5</f>
        <v>0</v>
      </c>
      <c r="AL6" s="3">
        <f>IF(Avoine!G5="",'Intermédiaire_Prod-Résultats'!AK6,Avoine!G5)</f>
        <v>0</v>
      </c>
      <c r="AN6" s="3">
        <f>'Blé_d''automne'!E5</f>
        <v>0</v>
      </c>
      <c r="AO6" s="3">
        <f>IF('Blé_d''automne'!G5="",'Intermédiaire_Prod-Résultats'!AN6,'Blé_d''automne'!G5)</f>
        <v>0</v>
      </c>
      <c r="AQ6" s="3">
        <f>Blé_printemps!E5</f>
        <v>0</v>
      </c>
      <c r="AR6" s="3">
        <f>IF(Blé_printemps!G5="",'Intermédiaire_Prod-Résultats'!AQ6,Blé_printemps!G5)</f>
        <v>0</v>
      </c>
      <c r="AT6" s="3">
        <f>Seigle!E5</f>
        <v>0</v>
      </c>
      <c r="AU6" s="3">
        <f>IF(Seigle!G5="",'Intermédiaire_Prod-Résultats'!AT6,Seigle!G5)</f>
        <v>0</v>
      </c>
      <c r="AW6" s="3">
        <f>Seigle_hybride!E5</f>
        <v>0</v>
      </c>
      <c r="AX6" s="3">
        <f>IF(Seigle_hybride!G5="",'Intermédiaire_Prod-Résultats'!AW6,Seigle_hybride!G5)</f>
        <v>0</v>
      </c>
      <c r="AY6" s="51"/>
      <c r="AZ6" s="41">
        <f>'Maïs-grain'!E5</f>
        <v>0</v>
      </c>
      <c r="BA6" s="3">
        <f>IF('Maïs-grain'!G5="",'Intermédiaire_Prod-Résultats'!AZ6,'Maïs-grain'!G5)</f>
        <v>0</v>
      </c>
      <c r="BC6" s="3">
        <f>Soya!E5</f>
        <v>0</v>
      </c>
      <c r="BD6" s="3">
        <f>IF(Soya!G5="",'Intermédiaire_Prod-Résultats'!BC6,Soya!G5)</f>
        <v>0</v>
      </c>
      <c r="BF6" s="3">
        <f>Orge!E5</f>
        <v>0</v>
      </c>
      <c r="BG6" s="3">
        <f>IF(Orge!G5="",'Intermédiaire_Prod-Résultats'!BF6,Orge!G5)</f>
        <v>0</v>
      </c>
      <c r="BI6" s="3">
        <f>Avoine!E5</f>
        <v>0</v>
      </c>
      <c r="BJ6" s="3">
        <f>IF(Avoine!G5="",'Intermédiaire_Prod-Résultats'!BI6,Avoine!G5)</f>
        <v>0</v>
      </c>
      <c r="BL6" s="3">
        <f>'Blé_d''automne'!E5</f>
        <v>0</v>
      </c>
      <c r="BM6" s="3">
        <f>IF('Blé_d''automne'!G5="",'Intermédiaire_Prod-Résultats'!BL6,'Blé_d''automne'!G5)</f>
        <v>0</v>
      </c>
      <c r="BO6" s="3">
        <f>Blé_printemps!E5</f>
        <v>0</v>
      </c>
      <c r="BP6" s="3">
        <f>IF(Blé_printemps!G5="",'Intermédiaire_Prod-Résultats'!BO6,Blé_printemps!G5)</f>
        <v>0</v>
      </c>
      <c r="BR6" s="3">
        <f>Seigle!E5</f>
        <v>0</v>
      </c>
      <c r="BS6" s="3">
        <f>IF(Seigle!G5="",'Intermédiaire_Prod-Résultats'!BR6,Seigle!G5)</f>
        <v>0</v>
      </c>
      <c r="BU6" s="3">
        <f>Seigle_hybride!E5</f>
        <v>0</v>
      </c>
      <c r="BV6" s="3">
        <f>IF(Seigle_hybride!G5="",'Intermédiaire_Prod-Résultats'!BU6,Seigle_hybride!G5)</f>
        <v>0</v>
      </c>
    </row>
    <row r="7" spans="1:74" x14ac:dyDescent="0.25">
      <c r="A7" t="s">
        <v>38</v>
      </c>
      <c r="D7" s="3">
        <f>'Maïs-grain'!E6</f>
        <v>4.21</v>
      </c>
      <c r="E7" s="3">
        <f>IF('Maïs-grain'!G6="",'Intermédiaire_Prod-Résultats'!D7,'Maïs-grain'!G6)</f>
        <v>4.21</v>
      </c>
      <c r="G7" s="3">
        <f>Soya!E6</f>
        <v>53.32</v>
      </c>
      <c r="H7" s="3">
        <f>IF(Soya!G6="",'Intermédiaire_Prod-Résultats'!G7,Soya!G6)</f>
        <v>53.32</v>
      </c>
      <c r="J7" s="3">
        <f>Orge!E6</f>
        <v>365.61</v>
      </c>
      <c r="K7" s="3">
        <f>IF(Orge!G6="",'Intermédiaire_Prod-Résultats'!J7,Orge!G6)</f>
        <v>365.61</v>
      </c>
      <c r="M7" s="3">
        <f>Avoine!E6</f>
        <v>243.44</v>
      </c>
      <c r="N7" s="3">
        <f>IF(Avoine!G6="",'Intermédiaire_Prod-Résultats'!M7,Avoine!G6)</f>
        <v>243.44</v>
      </c>
      <c r="P7" s="3">
        <f>'Blé_d''automne'!E6</f>
        <v>392.87</v>
      </c>
      <c r="Q7" s="3">
        <f>IF('Blé_d''automne'!G6="",'Intermédiaire_Prod-Résultats'!P7,'Blé_d''automne'!G6)</f>
        <v>392.87</v>
      </c>
      <c r="S7" s="3">
        <f>Blé_printemps!E6</f>
        <v>392.87</v>
      </c>
      <c r="T7" s="3">
        <f>IF(Blé_printemps!G6="",'Intermédiaire_Prod-Résultats'!S7,Blé_printemps!G6)</f>
        <v>392.87</v>
      </c>
      <c r="V7" s="3">
        <f>Seigle!E6</f>
        <v>324.72000000000003</v>
      </c>
      <c r="W7" s="3">
        <f>IF(Seigle!G6="",'Intermédiaire_Prod-Résultats'!V7,Seigle!G6)</f>
        <v>324.72000000000003</v>
      </c>
      <c r="Y7" s="3">
        <f>Seigle_hybride!E6</f>
        <v>405.9</v>
      </c>
      <c r="Z7" s="3">
        <f>IF(Seigle_hybride!G6="",'Intermédiaire_Prod-Résultats'!Y7,Seigle_hybride!G6)</f>
        <v>405.9</v>
      </c>
      <c r="AA7" s="51"/>
      <c r="AB7" s="41">
        <f>'Maïs-grain'!E6</f>
        <v>4.21</v>
      </c>
      <c r="AC7" s="3">
        <f>IF('Maïs-grain'!G6="",'Intermédiaire_Prod-Résultats'!AB7,'Maïs-grain'!G6)</f>
        <v>4.21</v>
      </c>
      <c r="AE7" s="3">
        <f>Soya!E6</f>
        <v>53.32</v>
      </c>
      <c r="AF7" s="3">
        <f>IF(Soya!G6="",'Intermédiaire_Prod-Résultats'!AE7,Soya!G6)</f>
        <v>53.32</v>
      </c>
      <c r="AH7" s="3">
        <f>Orge!E6</f>
        <v>365.61</v>
      </c>
      <c r="AI7" s="3">
        <f>IF(Orge!G6="",'Intermédiaire_Prod-Résultats'!AH7,Orge!G6)</f>
        <v>365.61</v>
      </c>
      <c r="AK7" s="3">
        <f>Avoine!E6</f>
        <v>243.44</v>
      </c>
      <c r="AL7" s="3">
        <f>IF(Avoine!G6="",'Intermédiaire_Prod-Résultats'!AK7,Avoine!G6)</f>
        <v>243.44</v>
      </c>
      <c r="AN7" s="3">
        <f>'Blé_d''automne'!E6</f>
        <v>392.87</v>
      </c>
      <c r="AO7" s="3">
        <f>IF('Blé_d''automne'!G6="",'Intermédiaire_Prod-Résultats'!AN7,'Blé_d''automne'!G6)</f>
        <v>392.87</v>
      </c>
      <c r="AQ7" s="3">
        <f>Blé_printemps!E6</f>
        <v>392.87</v>
      </c>
      <c r="AR7" s="3">
        <f>IF(Blé_printemps!G6="",'Intermédiaire_Prod-Résultats'!AQ7,Blé_printemps!G6)</f>
        <v>392.87</v>
      </c>
      <c r="AT7" s="3">
        <f>Seigle!E6</f>
        <v>324.72000000000003</v>
      </c>
      <c r="AU7" s="3">
        <f>IF(Seigle!G6="",'Intermédiaire_Prod-Résultats'!AT7,Seigle!G6)</f>
        <v>324.72000000000003</v>
      </c>
      <c r="AW7" s="3">
        <f>Seigle_hybride!E6</f>
        <v>405.9</v>
      </c>
      <c r="AX7" s="3">
        <f>IF(Seigle_hybride!G6="",'Intermédiaire_Prod-Résultats'!AW7,Seigle_hybride!G6)</f>
        <v>405.9</v>
      </c>
      <c r="AY7" s="51"/>
      <c r="AZ7" s="41">
        <f>'Maïs-grain'!E6</f>
        <v>4.21</v>
      </c>
      <c r="BA7" s="3">
        <f>IF('Maïs-grain'!G6="",'Intermédiaire_Prod-Résultats'!AZ7,'Maïs-grain'!G6)</f>
        <v>4.21</v>
      </c>
      <c r="BC7" s="3">
        <f>Soya!E6</f>
        <v>53.32</v>
      </c>
      <c r="BD7" s="3">
        <f>IF(Soya!G6="",'Intermédiaire_Prod-Résultats'!BC7,Soya!G6)</f>
        <v>53.32</v>
      </c>
      <c r="BF7" s="3">
        <f>Orge!E6</f>
        <v>365.61</v>
      </c>
      <c r="BG7" s="3">
        <f>IF(Orge!G6="",'Intermédiaire_Prod-Résultats'!BF7,Orge!G6)</f>
        <v>365.61</v>
      </c>
      <c r="BI7" s="3">
        <f>Avoine!E6</f>
        <v>243.44</v>
      </c>
      <c r="BJ7" s="3">
        <f>IF(Avoine!G6="",'Intermédiaire_Prod-Résultats'!BI7,Avoine!G6)</f>
        <v>243.44</v>
      </c>
      <c r="BL7" s="3">
        <f>'Blé_d''automne'!E6</f>
        <v>392.87</v>
      </c>
      <c r="BM7" s="3">
        <f>IF('Blé_d''automne'!G6="",'Intermédiaire_Prod-Résultats'!BL7,'Blé_d''automne'!G6)</f>
        <v>392.87</v>
      </c>
      <c r="BO7" s="3">
        <f>Blé_printemps!E6</f>
        <v>392.87</v>
      </c>
      <c r="BP7" s="3">
        <f>IF(Blé_printemps!G6="",'Intermédiaire_Prod-Résultats'!BO7,Blé_printemps!G6)</f>
        <v>392.87</v>
      </c>
      <c r="BR7" s="3">
        <f>Seigle!E6</f>
        <v>324.72000000000003</v>
      </c>
      <c r="BS7" s="3">
        <f>IF(Seigle!G6="",'Intermédiaire_Prod-Résultats'!BR7,Seigle!G6)</f>
        <v>324.72000000000003</v>
      </c>
      <c r="BU7" s="3">
        <f>Seigle_hybride!E6</f>
        <v>405.9</v>
      </c>
      <c r="BV7" s="3">
        <f>IF(Seigle_hybride!G6="",'Intermédiaire_Prod-Résultats'!BU7,Seigle_hybride!G6)</f>
        <v>405.9</v>
      </c>
    </row>
    <row r="8" spans="1:74" x14ac:dyDescent="0.25">
      <c r="A8" t="s">
        <v>178</v>
      </c>
      <c r="D8" s="3">
        <f>(D5-D15)*0.042</f>
        <v>137.78058000000001</v>
      </c>
      <c r="E8" s="3">
        <f>(E5-E15)*0.042</f>
        <v>137.78058000000001</v>
      </c>
      <c r="G8" s="3">
        <f>(G5-G15)*0.042</f>
        <v>86.932440000000014</v>
      </c>
      <c r="H8" s="3">
        <f>(H5-H15)*0.042</f>
        <v>86.932440000000014</v>
      </c>
      <c r="J8" s="3">
        <f>(J5+J7-J15)*0.01</f>
        <v>12.266400000000001</v>
      </c>
      <c r="K8" s="3">
        <f>(K5+K7-K15)*0.01</f>
        <v>12.266400000000001</v>
      </c>
      <c r="M8" s="3">
        <f>(M5+M7-M15)*0.01</f>
        <v>8.8414999999999981</v>
      </c>
      <c r="N8" s="3">
        <f>(N5+N7-N15)*0.01</f>
        <v>8.8414999999999981</v>
      </c>
      <c r="P8" s="3">
        <f>(P5+P7-P15)*0.01</f>
        <v>18.507099999999998</v>
      </c>
      <c r="Q8" s="3">
        <f>(Q5+Q7-Q15)*0.01</f>
        <v>18.507099999999998</v>
      </c>
      <c r="S8" s="3">
        <f>(S5+S7-S15)*0.01</f>
        <v>15.078400000000002</v>
      </c>
      <c r="T8" s="3">
        <f>(T5+T7-T15)*0.01</f>
        <v>15.078400000000002</v>
      </c>
      <c r="V8" s="3">
        <f>(V5+V7-V15)*0.01</f>
        <v>10.3201</v>
      </c>
      <c r="W8" s="3">
        <f>(W5+W7-W15)*0.01</f>
        <v>10.3201</v>
      </c>
      <c r="Y8" s="3">
        <f>(Y5+Y7-Y15)*0.01</f>
        <v>17.084</v>
      </c>
      <c r="Z8" s="3">
        <f>(Z5+Z7-Z15)*0.01</f>
        <v>17.084</v>
      </c>
      <c r="AA8" s="51"/>
      <c r="AB8" s="41">
        <f>(AB5-AB15)*0.042</f>
        <v>147.14716800000002</v>
      </c>
      <c r="AC8" s="3">
        <f>(AC5-AC15)*0.042</f>
        <v>147.14716800000002</v>
      </c>
      <c r="AE8" s="3">
        <f>(AE5-AE15)*0.042</f>
        <v>91.682640000000006</v>
      </c>
      <c r="AF8" s="3">
        <f>(AF5-AF15)*0.042</f>
        <v>91.682640000000006</v>
      </c>
      <c r="AH8" s="3">
        <f>(AH5+AH7-AH15)*0.01</f>
        <v>12.841150000000001</v>
      </c>
      <c r="AI8" s="3">
        <f>(AI5+AI7-AI15)*0.01</f>
        <v>12.841150000000001</v>
      </c>
      <c r="AK8" s="3">
        <f>(AK5+AK7-AK15)*0.01</f>
        <v>9.269619999999998</v>
      </c>
      <c r="AL8" s="3">
        <f>(AL5+AL7-AL15)*0.01</f>
        <v>9.269619999999998</v>
      </c>
      <c r="AN8" s="3">
        <f>(AN5+AN7-AN15)*0.01</f>
        <v>19.412949999999999</v>
      </c>
      <c r="AO8" s="3">
        <f>(AO5+AO7-AO15)*0.01</f>
        <v>19.412949999999999</v>
      </c>
      <c r="AQ8" s="3">
        <f>(AQ5+AQ7-AQ15)*0.01</f>
        <v>15.80308</v>
      </c>
      <c r="AR8" s="3">
        <f>(AR5+AR7-AR15)*0.01</f>
        <v>15.80308</v>
      </c>
      <c r="AT8" s="3">
        <f>(AT5+AT7-AT15)*0.01</f>
        <v>10.804099999999998</v>
      </c>
      <c r="AU8" s="3">
        <f>(AU5+AU7-AU15)*0.01</f>
        <v>10.804099999999998</v>
      </c>
      <c r="AW8" s="3">
        <f>(AW5+AW7-AW15)*0.01</f>
        <v>17.915875</v>
      </c>
      <c r="AX8" s="3">
        <f>(AX5+AX7-AX15)*0.01</f>
        <v>17.915875</v>
      </c>
      <c r="AY8" s="51"/>
      <c r="AZ8" s="41">
        <f>(AZ5-AZ15)*0.042</f>
        <v>156.51375600000006</v>
      </c>
      <c r="BA8" s="3">
        <f>(BA5-BA15)*0.042</f>
        <v>156.51375600000006</v>
      </c>
      <c r="BC8" s="3">
        <f>(BC5-BC15)*0.042</f>
        <v>96.432840000000027</v>
      </c>
      <c r="BD8" s="3">
        <f>(BD5-BD15)*0.042</f>
        <v>96.432840000000027</v>
      </c>
      <c r="BF8" s="3">
        <f>(BF5+BF7-BF15)*0.01</f>
        <v>13.415899999999999</v>
      </c>
      <c r="BG8" s="3">
        <f>(BG5+BG7-BG15)*0.01</f>
        <v>13.415899999999999</v>
      </c>
      <c r="BI8" s="3">
        <f>(BI5+BI7-BI15)*0.01</f>
        <v>9.6977399999999996</v>
      </c>
      <c r="BJ8" s="3">
        <f>(BJ5+BJ7-BJ15)*0.01</f>
        <v>9.6977399999999996</v>
      </c>
      <c r="BL8" s="3">
        <f>(BL5+BL7-BL15)*0.01</f>
        <v>20.3188</v>
      </c>
      <c r="BM8" s="3">
        <f>(BM5+BM7-BM15)*0.01</f>
        <v>20.3188</v>
      </c>
      <c r="BO8" s="3">
        <f>(BO5+BO7-BO15)*0.01</f>
        <v>16.527760000000004</v>
      </c>
      <c r="BP8" s="3">
        <f>(BP5+BP7-BP15)*0.01</f>
        <v>16.527760000000004</v>
      </c>
      <c r="BR8" s="3">
        <f>(BR5+BR7-BR15)*0.01</f>
        <v>11.2881</v>
      </c>
      <c r="BS8" s="3">
        <f>(BS5+BS7-BS15)*0.01</f>
        <v>11.2881</v>
      </c>
      <c r="BU8" s="3">
        <f>(BU5+BU7-BU15)*0.01</f>
        <v>18.74775</v>
      </c>
      <c r="BV8" s="3">
        <f>(BV5+BV7-BV15)*0.01</f>
        <v>18.74775</v>
      </c>
    </row>
    <row r="9" spans="1:74" x14ac:dyDescent="0.25">
      <c r="A9" t="s">
        <v>39</v>
      </c>
      <c r="D9" s="3">
        <f>'Maïs-grain'!E8</f>
        <v>0</v>
      </c>
      <c r="E9" s="3">
        <f>IF('Maïs-grain'!G8="",'Intermédiaire_Prod-Résultats'!D9,'Maïs-grain'!G8)</f>
        <v>0</v>
      </c>
      <c r="G9" s="3">
        <f>Soya!E8</f>
        <v>0</v>
      </c>
      <c r="H9" s="3">
        <f>IF(Soya!G8="",'Intermédiaire_Prod-Résultats'!G9,Soya!G8)</f>
        <v>0</v>
      </c>
      <c r="J9" s="3">
        <f>Orge!E8</f>
        <v>75.28</v>
      </c>
      <c r="K9" s="3">
        <f>IF(Orge!G8="",'Intermédiaire_Prod-Résultats'!J9,Orge!G8)</f>
        <v>75.28</v>
      </c>
      <c r="M9" s="3">
        <f>Avoine!E8</f>
        <v>85.62</v>
      </c>
      <c r="N9" s="3">
        <f>IF(Avoine!G8="",'Intermédiaire_Prod-Résultats'!M9,Avoine!G8)</f>
        <v>85.62</v>
      </c>
      <c r="P9" s="3">
        <f>'Blé_d''automne'!E8</f>
        <v>52.17</v>
      </c>
      <c r="Q9" s="3">
        <f>IF('Blé_d''automne'!G8="",'Intermédiaire_Prod-Résultats'!P9,'Blé_d''automne'!G8)</f>
        <v>52.17</v>
      </c>
      <c r="S9" s="3">
        <f>Blé_printemps!E8</f>
        <v>55.6</v>
      </c>
      <c r="T9" s="3">
        <f>IF(Blé_printemps!G8="",'Intermédiaire_Prod-Résultats'!S9,Blé_printemps!G8)</f>
        <v>55.6</v>
      </c>
      <c r="V9" s="3">
        <f>Seigle!E8</f>
        <v>70.760000000000005</v>
      </c>
      <c r="W9" s="3">
        <f>IF(Seigle!G8="",'Intermédiaire_Prod-Résultats'!V9,Seigle!G8)</f>
        <v>70.760000000000005</v>
      </c>
      <c r="Y9" s="3">
        <f>Seigle_hybride!E8</f>
        <v>42.35</v>
      </c>
      <c r="Z9" s="3">
        <f>IF(Seigle_hybride!G8="",'Intermédiaire_Prod-Résultats'!Y9,Seigle_hybride!G8)</f>
        <v>42.35</v>
      </c>
      <c r="AA9" s="51"/>
      <c r="AB9" s="41">
        <f>'Maïs-grain'!E8</f>
        <v>0</v>
      </c>
      <c r="AC9" s="3">
        <f>IF('Maïs-grain'!G8="",'Intermédiaire_Prod-Résultats'!AB9,'Maïs-grain'!G8)</f>
        <v>0</v>
      </c>
      <c r="AE9" s="3">
        <f>Soya!E8</f>
        <v>0</v>
      </c>
      <c r="AF9" s="3">
        <f>IF(Soya!G8="",'Intermédiaire_Prod-Résultats'!AE9,Soya!G8)</f>
        <v>0</v>
      </c>
      <c r="AH9" s="3">
        <f>Orge!E8</f>
        <v>75.28</v>
      </c>
      <c r="AI9" s="3">
        <f>IF(Orge!G8="",'Intermédiaire_Prod-Résultats'!AH9,Orge!G8)</f>
        <v>75.28</v>
      </c>
      <c r="AK9" s="3">
        <f>Avoine!E8</f>
        <v>85.62</v>
      </c>
      <c r="AL9" s="3">
        <f>IF(Avoine!G8="",'Intermédiaire_Prod-Résultats'!AK9,Avoine!G8)</f>
        <v>85.62</v>
      </c>
      <c r="AN9" s="3">
        <f>'Blé_d''automne'!E8</f>
        <v>52.17</v>
      </c>
      <c r="AO9" s="3">
        <f>IF('Blé_d''automne'!G8="",'Intermédiaire_Prod-Résultats'!AN9,'Blé_d''automne'!G8)</f>
        <v>52.17</v>
      </c>
      <c r="AQ9" s="3">
        <f>Blé_printemps!E8</f>
        <v>55.6</v>
      </c>
      <c r="AR9" s="3">
        <f>IF(Blé_printemps!G8="",'Intermédiaire_Prod-Résultats'!AQ9,Blé_printemps!G8)</f>
        <v>55.6</v>
      </c>
      <c r="AT9" s="3">
        <f>Seigle!E8</f>
        <v>70.760000000000005</v>
      </c>
      <c r="AU9" s="3">
        <f>IF(Seigle!G8="",'Intermédiaire_Prod-Résultats'!AT9,Seigle!G8)</f>
        <v>70.760000000000005</v>
      </c>
      <c r="AW9" s="3">
        <f>Seigle_hybride!E8</f>
        <v>42.35</v>
      </c>
      <c r="AX9" s="3">
        <f>IF(Seigle_hybride!G8="",'Intermédiaire_Prod-Résultats'!AW9,Seigle_hybride!G8)</f>
        <v>42.35</v>
      </c>
      <c r="AY9" s="51"/>
      <c r="AZ9" s="41">
        <f>'Maïs-grain'!E8</f>
        <v>0</v>
      </c>
      <c r="BA9" s="3">
        <f>IF('Maïs-grain'!G8="",'Intermédiaire_Prod-Résultats'!AZ9,'Maïs-grain'!G8)</f>
        <v>0</v>
      </c>
      <c r="BC9" s="3">
        <f>Soya!E8</f>
        <v>0</v>
      </c>
      <c r="BD9" s="3">
        <f>IF(Soya!G8="",'Intermédiaire_Prod-Résultats'!BC9,Soya!G8)</f>
        <v>0</v>
      </c>
      <c r="BF9" s="3">
        <f>Orge!E8</f>
        <v>75.28</v>
      </c>
      <c r="BG9" s="3">
        <f>IF(Orge!G8="",'Intermédiaire_Prod-Résultats'!BF9,Orge!G8)</f>
        <v>75.28</v>
      </c>
      <c r="BI9" s="3">
        <f>Avoine!E8</f>
        <v>85.62</v>
      </c>
      <c r="BJ9" s="3">
        <f>IF(Avoine!G8="",'Intermédiaire_Prod-Résultats'!BI9,Avoine!G8)</f>
        <v>85.62</v>
      </c>
      <c r="BL9" s="3">
        <f>'Blé_d''automne'!E8</f>
        <v>52.17</v>
      </c>
      <c r="BM9" s="3">
        <f>IF('Blé_d''automne'!G8="",'Intermédiaire_Prod-Résultats'!BL9,'Blé_d''automne'!G8)</f>
        <v>52.17</v>
      </c>
      <c r="BO9" s="3">
        <f>Blé_printemps!E8</f>
        <v>55.6</v>
      </c>
      <c r="BP9" s="3">
        <f>IF(Blé_printemps!G8="",'Intermédiaire_Prod-Résultats'!BO9,Blé_printemps!G8)</f>
        <v>55.6</v>
      </c>
      <c r="BR9" s="3">
        <f>Seigle!E8</f>
        <v>70.760000000000005</v>
      </c>
      <c r="BS9" s="3">
        <f>IF(Seigle!G8="",'Intermédiaire_Prod-Résultats'!BR9,Seigle!G8)</f>
        <v>70.760000000000005</v>
      </c>
      <c r="BU9" s="3">
        <f>Seigle_hybride!E8</f>
        <v>42.35</v>
      </c>
      <c r="BV9" s="3">
        <f>IF(Seigle_hybride!G8="",'Intermédiaire_Prod-Résultats'!BU9,Seigle_hybride!G8)</f>
        <v>42.35</v>
      </c>
    </row>
    <row r="10" spans="1:74" x14ac:dyDescent="0.25">
      <c r="D10" s="3"/>
      <c r="E10" s="3"/>
      <c r="G10" s="3"/>
      <c r="H10" s="3"/>
      <c r="J10" s="3"/>
      <c r="K10" s="3"/>
      <c r="M10" s="3"/>
      <c r="N10" s="3"/>
      <c r="P10" s="3"/>
      <c r="Q10" s="3"/>
      <c r="S10" s="3"/>
      <c r="T10" s="3"/>
      <c r="V10" s="3"/>
      <c r="W10" s="3"/>
      <c r="Y10" s="3"/>
      <c r="Z10" s="3"/>
      <c r="AA10" s="51"/>
      <c r="AB10" s="41"/>
      <c r="AC10" s="3"/>
      <c r="AE10" s="3"/>
      <c r="AF10" s="3"/>
      <c r="AH10" s="3"/>
      <c r="AI10" s="3"/>
      <c r="AK10" s="3"/>
      <c r="AL10" s="3"/>
      <c r="AN10" s="3"/>
      <c r="AO10" s="3"/>
      <c r="AQ10" s="3"/>
      <c r="AR10" s="3"/>
      <c r="AT10" s="3"/>
      <c r="AU10" s="3"/>
      <c r="AW10" s="3"/>
      <c r="AX10" s="3"/>
      <c r="AY10" s="51"/>
      <c r="AZ10" s="41"/>
      <c r="BA10" s="3"/>
      <c r="BC10" s="3"/>
      <c r="BD10" s="3"/>
      <c r="BF10" s="3"/>
      <c r="BG10" s="3"/>
      <c r="BI10" s="3"/>
      <c r="BJ10" s="3"/>
      <c r="BL10" s="3"/>
      <c r="BM10" s="3"/>
      <c r="BO10" s="3"/>
      <c r="BP10" s="3"/>
      <c r="BR10" s="3"/>
      <c r="BS10" s="3"/>
      <c r="BU10" s="3"/>
      <c r="BV10" s="3"/>
    </row>
    <row r="11" spans="1:74" x14ac:dyDescent="0.25">
      <c r="A11" s="1" t="s">
        <v>13</v>
      </c>
      <c r="D11" s="6">
        <f>SUM(D5:D9)</f>
        <v>3858.8905800000002</v>
      </c>
      <c r="E11" s="6">
        <f>SUM(E5:E9)</f>
        <v>3858.8905800000002</v>
      </c>
      <c r="G11" s="6">
        <f>SUM(G5:G9)</f>
        <v>2402.2524400000002</v>
      </c>
      <c r="H11" s="6">
        <f>SUM(H5:H9)</f>
        <v>2402.2524400000002</v>
      </c>
      <c r="J11" s="6">
        <f>SUM(J5:J9)</f>
        <v>1498.1564000000001</v>
      </c>
      <c r="K11" s="6">
        <f>SUM(K5:K9)</f>
        <v>1498.1564000000001</v>
      </c>
      <c r="M11" s="6">
        <f>SUM(M5:M9)</f>
        <v>1116.3015</v>
      </c>
      <c r="N11" s="6">
        <f>SUM(N5:N9)</f>
        <v>1116.3015</v>
      </c>
      <c r="P11" s="6">
        <f>SUM(P5:P9)</f>
        <v>2110.5470999999998</v>
      </c>
      <c r="Q11" s="6">
        <f>SUM(Q5:Q9)</f>
        <v>2110.5470999999998</v>
      </c>
      <c r="S11" s="6">
        <f>SUM(S5:S9)</f>
        <v>1781.1484000000003</v>
      </c>
      <c r="T11" s="6">
        <f>SUM(T5:T9)</f>
        <v>1781.1484000000003</v>
      </c>
      <c r="V11" s="6">
        <f>SUM(V5:V9)</f>
        <v>1285.8000999999999</v>
      </c>
      <c r="W11" s="6">
        <f>SUM(W5:W9)</f>
        <v>1285.8000999999999</v>
      </c>
      <c r="Y11" s="6">
        <f>SUM(Y5:Y9)</f>
        <v>1977.8340000000001</v>
      </c>
      <c r="Z11" s="6">
        <f>SUM(Z5:Z9)</f>
        <v>1977.8340000000001</v>
      </c>
      <c r="AA11" s="51"/>
      <c r="AB11" s="42">
        <f>SUM(AB5:AB9)</f>
        <v>4091.2711680000002</v>
      </c>
      <c r="AC11" s="6">
        <f>SUM(AC5:AC9)</f>
        <v>4091.2711680000002</v>
      </c>
      <c r="AE11" s="6">
        <f>SUM(AE5:AE9)</f>
        <v>2520.1026400000001</v>
      </c>
      <c r="AF11" s="6">
        <f>SUM(AF5:AF9)</f>
        <v>2520.1026400000001</v>
      </c>
      <c r="AH11" s="6">
        <f>SUM(AH5:AH9)</f>
        <v>1556.20615</v>
      </c>
      <c r="AI11" s="6">
        <f>SUM(AI5:AI9)</f>
        <v>1556.20615</v>
      </c>
      <c r="AK11" s="6">
        <f>SUM(AK5:AK9)</f>
        <v>1159.54162</v>
      </c>
      <c r="AL11" s="6">
        <f>SUM(AL5:AL9)</f>
        <v>1159.54162</v>
      </c>
      <c r="AN11" s="6">
        <f>SUM(AN5:AN9)</f>
        <v>2202.0379499999999</v>
      </c>
      <c r="AO11" s="6">
        <f>SUM(AO5:AO9)</f>
        <v>2202.0379499999999</v>
      </c>
      <c r="AQ11" s="6">
        <f>SUM(AQ5:AQ9)</f>
        <v>1854.3410799999999</v>
      </c>
      <c r="AR11" s="6">
        <f>SUM(AR5:AR9)</f>
        <v>1854.3410799999999</v>
      </c>
      <c r="AT11" s="6">
        <f>SUM(AT5:AT9)</f>
        <v>1334.6840999999999</v>
      </c>
      <c r="AU11" s="6">
        <f>SUM(AU5:AU9)</f>
        <v>1334.6840999999999</v>
      </c>
      <c r="AW11" s="6">
        <f>SUM(AW5:AW9)</f>
        <v>2061.8533750000001</v>
      </c>
      <c r="AX11" s="6">
        <f>SUM(AX5:AX9)</f>
        <v>2061.8533750000001</v>
      </c>
      <c r="AY11" s="51"/>
      <c r="AZ11" s="42">
        <f>SUM(AZ5:AZ9)</f>
        <v>4323.6517560000011</v>
      </c>
      <c r="BA11" s="6">
        <f>SUM(BA5:BA9)</f>
        <v>4323.6517560000011</v>
      </c>
      <c r="BC11" s="6">
        <f>SUM(BC5:BC9)</f>
        <v>2637.9528400000004</v>
      </c>
      <c r="BD11" s="6">
        <f>SUM(BD5:BD9)</f>
        <v>2637.9528400000004</v>
      </c>
      <c r="BF11" s="6">
        <f>SUM(BF5:BF9)</f>
        <v>1614.2558999999999</v>
      </c>
      <c r="BG11" s="6">
        <f>SUM(BG5:BG9)</f>
        <v>1614.2558999999999</v>
      </c>
      <c r="BI11" s="6">
        <f>SUM(BI5:BI9)</f>
        <v>1202.7817399999999</v>
      </c>
      <c r="BJ11" s="6">
        <f>SUM(BJ5:BJ9)</f>
        <v>1202.7817399999999</v>
      </c>
      <c r="BL11" s="6">
        <f>SUM(BL5:BL9)</f>
        <v>2293.5288</v>
      </c>
      <c r="BM11" s="6">
        <f>SUM(BM5:BM9)</f>
        <v>2293.5288</v>
      </c>
      <c r="BO11" s="6">
        <f>SUM(BO5:BO9)</f>
        <v>1927.5337600000003</v>
      </c>
      <c r="BP11" s="6">
        <f>SUM(BP5:BP9)</f>
        <v>1927.5337600000003</v>
      </c>
      <c r="BR11" s="6">
        <f>SUM(BR5:BR9)</f>
        <v>1383.5681</v>
      </c>
      <c r="BS11" s="6">
        <f>SUM(BS5:BS9)</f>
        <v>1383.5681</v>
      </c>
      <c r="BU11" s="6">
        <f>SUM(BU5:BU9)</f>
        <v>2145.87275</v>
      </c>
      <c r="BV11" s="6">
        <f>SUM(BV5:BV9)</f>
        <v>2145.87275</v>
      </c>
    </row>
    <row r="12" spans="1:74" x14ac:dyDescent="0.25">
      <c r="D12" s="3"/>
      <c r="E12" s="3"/>
      <c r="G12" s="3"/>
      <c r="H12" s="3"/>
      <c r="J12" s="3"/>
      <c r="K12" s="3"/>
      <c r="M12" s="3"/>
      <c r="N12" s="3"/>
      <c r="P12" s="3"/>
      <c r="Q12" s="3"/>
      <c r="S12" s="3"/>
      <c r="T12" s="3"/>
      <c r="V12" s="3"/>
      <c r="W12" s="3"/>
      <c r="Y12" s="3"/>
      <c r="Z12" s="3"/>
      <c r="AA12" s="51"/>
      <c r="AB12" s="41"/>
      <c r="AC12" s="3"/>
      <c r="AE12" s="3"/>
      <c r="AF12" s="3"/>
      <c r="AH12" s="3"/>
      <c r="AI12" s="3"/>
      <c r="AK12" s="3"/>
      <c r="AL12" s="3"/>
      <c r="AN12" s="3"/>
      <c r="AO12" s="3"/>
      <c r="AQ12" s="3"/>
      <c r="AR12" s="3"/>
      <c r="AT12" s="3"/>
      <c r="AU12" s="3"/>
      <c r="AW12" s="3"/>
      <c r="AX12" s="3"/>
      <c r="AY12" s="51"/>
      <c r="AZ12" s="41"/>
      <c r="BA12" s="3"/>
      <c r="BC12" s="3"/>
      <c r="BD12" s="3"/>
      <c r="BF12" s="3"/>
      <c r="BG12" s="3"/>
      <c r="BI12" s="3"/>
      <c r="BJ12" s="3"/>
      <c r="BL12" s="3"/>
      <c r="BM12" s="3"/>
      <c r="BO12" s="3"/>
      <c r="BP12" s="3"/>
      <c r="BR12" s="3"/>
      <c r="BS12" s="3"/>
      <c r="BU12" s="3"/>
      <c r="BV12" s="3"/>
    </row>
    <row r="13" spans="1:74" x14ac:dyDescent="0.25">
      <c r="D13" s="3"/>
      <c r="E13" s="3"/>
      <c r="G13" s="3"/>
      <c r="H13" s="3"/>
      <c r="J13" s="3"/>
      <c r="K13" s="3"/>
      <c r="M13" s="3"/>
      <c r="N13" s="3"/>
      <c r="P13" s="3"/>
      <c r="Q13" s="3"/>
      <c r="S13" s="3"/>
      <c r="T13" s="3"/>
      <c r="V13" s="3"/>
      <c r="W13" s="3"/>
      <c r="Y13" s="3"/>
      <c r="Z13" s="3"/>
      <c r="AA13" s="51"/>
      <c r="AB13" s="41"/>
      <c r="AC13" s="3"/>
      <c r="AE13" s="3"/>
      <c r="AF13" s="3"/>
      <c r="AH13" s="3"/>
      <c r="AI13" s="3"/>
      <c r="AK13" s="3"/>
      <c r="AL13" s="3"/>
      <c r="AN13" s="3"/>
      <c r="AO13" s="3"/>
      <c r="AQ13" s="3"/>
      <c r="AR13" s="3"/>
      <c r="AT13" s="3"/>
      <c r="AU13" s="3"/>
      <c r="AW13" s="3"/>
      <c r="AX13" s="3"/>
      <c r="AY13" s="51"/>
      <c r="AZ13" s="41"/>
      <c r="BA13" s="3"/>
      <c r="BC13" s="3"/>
      <c r="BD13" s="3"/>
      <c r="BF13" s="3"/>
      <c r="BG13" s="3"/>
      <c r="BI13" s="3"/>
      <c r="BJ13" s="3"/>
      <c r="BL13" s="3"/>
      <c r="BM13" s="3"/>
      <c r="BO13" s="3"/>
      <c r="BP13" s="3"/>
      <c r="BR13" s="3"/>
      <c r="BS13" s="3"/>
      <c r="BU13" s="3"/>
      <c r="BV13" s="3"/>
    </row>
    <row r="14" spans="1:74" x14ac:dyDescent="0.25">
      <c r="A14" s="7" t="s">
        <v>14</v>
      </c>
      <c r="D14" s="3"/>
      <c r="E14" s="3"/>
      <c r="G14" s="3"/>
      <c r="H14" s="3"/>
      <c r="J14" s="3"/>
      <c r="K14" s="3"/>
      <c r="M14" s="3"/>
      <c r="N14" s="3"/>
      <c r="P14" s="3"/>
      <c r="Q14" s="3"/>
      <c r="S14" s="3"/>
      <c r="T14" s="3"/>
      <c r="V14" s="3"/>
      <c r="W14" s="3"/>
      <c r="Y14" s="3"/>
      <c r="Z14" s="3"/>
      <c r="AA14" s="51"/>
      <c r="AB14" s="41"/>
      <c r="AC14" s="3"/>
      <c r="AE14" s="3"/>
      <c r="AF14" s="3"/>
      <c r="AH14" s="3"/>
      <c r="AI14" s="3"/>
      <c r="AK14" s="3"/>
      <c r="AL14" s="3"/>
      <c r="AN14" s="3"/>
      <c r="AO14" s="3"/>
      <c r="AQ14" s="3"/>
      <c r="AR14" s="3"/>
      <c r="AT14" s="3"/>
      <c r="AU14" s="3"/>
      <c r="AW14" s="3"/>
      <c r="AX14" s="3"/>
      <c r="AY14" s="51"/>
      <c r="AZ14" s="41"/>
      <c r="BA14" s="3"/>
      <c r="BC14" s="3"/>
      <c r="BD14" s="3"/>
      <c r="BF14" s="3"/>
      <c r="BG14" s="3"/>
      <c r="BI14" s="3"/>
      <c r="BJ14" s="3"/>
      <c r="BL14" s="3"/>
      <c r="BM14" s="3"/>
      <c r="BO14" s="3"/>
      <c r="BP14" s="3"/>
      <c r="BR14" s="3"/>
      <c r="BS14" s="3"/>
      <c r="BU14" s="3"/>
      <c r="BV14" s="3"/>
    </row>
    <row r="15" spans="1:74" x14ac:dyDescent="0.25">
      <c r="A15" t="s">
        <v>74</v>
      </c>
      <c r="D15" s="3">
        <f>'Maïs-grain'!E15+IF(Saisies!B34="Oui",'Cultures de couverture'!E10,0)</f>
        <v>436.41</v>
      </c>
      <c r="E15" s="3">
        <f>IF('Maïs-grain'!G15="",'Intermédiaire_Prod-Résultats'!D15,'Maïs-grain'!G15+IF(Saisies!B34="Oui",'Cultures de couverture'!E10,0))</f>
        <v>436.41</v>
      </c>
      <c r="G15" s="3">
        <f>Soya!E15</f>
        <v>192.18</v>
      </c>
      <c r="H15" s="3">
        <f>IF(Soya!G15="",'Intermédiaire_Prod-Résultats'!G15,Soya!G15)</f>
        <v>192.18</v>
      </c>
      <c r="J15" s="3">
        <f>Orge!E15</f>
        <v>183.97</v>
      </c>
      <c r="K15" s="3">
        <f>IF(Orge!G15="",'Intermédiaire_Prod-Résultats'!J15,Orge!G15)</f>
        <v>183.97</v>
      </c>
      <c r="M15" s="3">
        <f>Avoine!E15</f>
        <v>137.69</v>
      </c>
      <c r="N15" s="3">
        <f>IF(Avoine!G15="",'Intermédiaire_Prod-Résultats'!M15,Avoine!G15)</f>
        <v>137.69</v>
      </c>
      <c r="P15" s="3">
        <f>'Blé_d''automne'!E15</f>
        <v>189.16</v>
      </c>
      <c r="Q15" s="3">
        <f>IF('Blé_d''automne'!G15="",'Intermédiaire_Prod-Résultats'!P15,'Blé_d''automne'!G15)</f>
        <v>189.16</v>
      </c>
      <c r="S15" s="3">
        <f>Blé_printemps!E15</f>
        <v>202.63</v>
      </c>
      <c r="T15" s="3">
        <f>IF(Blé_printemps!G15="",'Intermédiaire_Prod-Résultats'!S15,Blé_printemps!G15)</f>
        <v>202.63</v>
      </c>
      <c r="V15" s="3">
        <f>Seigle!E15</f>
        <v>172.71</v>
      </c>
      <c r="W15" s="3">
        <f>IF(Seigle!G15="",'Intermédiaire_Prod-Résultats'!V15,Seigle!G15)</f>
        <v>172.71</v>
      </c>
      <c r="Y15" s="3">
        <f>Seigle_hybride!E15</f>
        <v>210</v>
      </c>
      <c r="Z15" s="3">
        <f>IF(Seigle_hybride!G15="",'Intermédiaire_Prod-Résultats'!Y15,Seigle_hybride!G15)</f>
        <v>210</v>
      </c>
      <c r="AA15" s="51"/>
      <c r="AB15" s="41">
        <f>'Maïs-grain'!E15+IF(Saisies!B34="Oui",'Cultures de couverture'!E10,0)</f>
        <v>436.41</v>
      </c>
      <c r="AC15" s="3">
        <f>IF('Maïs-grain'!G15="",'Intermédiaire_Prod-Résultats'!AB15,'Maïs-grain'!G15+IF(Saisies!B34="Oui",'Cultures de couverture'!E10,0))</f>
        <v>436.41</v>
      </c>
      <c r="AE15" s="3">
        <f>Soya!E15</f>
        <v>192.18</v>
      </c>
      <c r="AF15" s="3">
        <f>IF(Soya!G15="",'Intermédiaire_Prod-Résultats'!AE15,Soya!G15)</f>
        <v>192.18</v>
      </c>
      <c r="AH15" s="3">
        <f>Orge!E15</f>
        <v>183.97</v>
      </c>
      <c r="AI15" s="3">
        <f>IF(Orge!G15="",'Intermédiaire_Prod-Résultats'!AH15,Orge!G15)</f>
        <v>183.97</v>
      </c>
      <c r="AK15" s="3">
        <f>Avoine!E15</f>
        <v>137.69</v>
      </c>
      <c r="AL15" s="3">
        <f>IF(Avoine!G15="",'Intermédiaire_Prod-Résultats'!AK15,Avoine!G15)</f>
        <v>137.69</v>
      </c>
      <c r="AN15" s="3">
        <f>'Blé_d''automne'!E15</f>
        <v>189.16</v>
      </c>
      <c r="AO15" s="3">
        <f>IF('Blé_d''automne'!G15="",'Intermédiaire_Prod-Résultats'!AN15,'Blé_d''automne'!G15)</f>
        <v>189.16</v>
      </c>
      <c r="AQ15" s="3">
        <f>Blé_printemps!E15</f>
        <v>202.63</v>
      </c>
      <c r="AR15" s="3">
        <f>IF(Blé_printemps!G15="",'Intermédiaire_Prod-Résultats'!AQ15,Blé_printemps!G15)</f>
        <v>202.63</v>
      </c>
      <c r="AT15" s="3">
        <f>Seigle!E15</f>
        <v>172.71</v>
      </c>
      <c r="AU15" s="3">
        <f>IF(Seigle!G15="",'Intermédiaire_Prod-Résultats'!AT15,Seigle!G15)</f>
        <v>172.71</v>
      </c>
      <c r="AW15" s="3">
        <f>Seigle_hybride!E15</f>
        <v>210</v>
      </c>
      <c r="AX15" s="3">
        <f>IF(Seigle_hybride!G15="",'Intermédiaire_Prod-Résultats'!AW15,Seigle_hybride!G15)</f>
        <v>210</v>
      </c>
      <c r="AY15" s="51"/>
      <c r="AZ15" s="41">
        <f>'Maïs-grain'!E15+IF(Saisies!B34="Oui",'Cultures de couverture'!E10,0)</f>
        <v>436.41</v>
      </c>
      <c r="BA15" s="3">
        <f>IF('Maïs-grain'!G15="",'Intermédiaire_Prod-Résultats'!AZ15,'Maïs-grain'!G15+IF(Saisies!B34="Oui",'Cultures de couverture'!E10,0))</f>
        <v>436.41</v>
      </c>
      <c r="BC15" s="3">
        <f>Soya!E15</f>
        <v>192.18</v>
      </c>
      <c r="BD15" s="3">
        <f>IF(Soya!G15="",'Intermédiaire_Prod-Résultats'!BC15,Soya!G15)</f>
        <v>192.18</v>
      </c>
      <c r="BF15" s="3">
        <f>Orge!E15</f>
        <v>183.97</v>
      </c>
      <c r="BG15" s="3">
        <f>IF(Orge!G15="",'Intermédiaire_Prod-Résultats'!BF15,Orge!G15)</f>
        <v>183.97</v>
      </c>
      <c r="BI15" s="3">
        <f>Avoine!E15</f>
        <v>137.69</v>
      </c>
      <c r="BJ15" s="3">
        <f>IF(Avoine!G15="",'Intermédiaire_Prod-Résultats'!BI15,Avoine!G15)</f>
        <v>137.69</v>
      </c>
      <c r="BL15" s="3">
        <f>'Blé_d''automne'!E15</f>
        <v>189.16</v>
      </c>
      <c r="BM15" s="3">
        <f>IF('Blé_d''automne'!G15="",'Intermédiaire_Prod-Résultats'!BL15,'Blé_d''automne'!G15)</f>
        <v>189.16</v>
      </c>
      <c r="BO15" s="3">
        <f>Blé_printemps!E15</f>
        <v>202.63</v>
      </c>
      <c r="BP15" s="3">
        <f>IF(Blé_printemps!G15="",'Intermédiaire_Prod-Résultats'!BO15,Blé_printemps!G15)</f>
        <v>202.63</v>
      </c>
      <c r="BR15" s="3">
        <f>Seigle!E15</f>
        <v>172.71</v>
      </c>
      <c r="BS15" s="3">
        <f>IF(Seigle!G15="",'Intermédiaire_Prod-Résultats'!BR15,Seigle!G15)</f>
        <v>172.71</v>
      </c>
      <c r="BU15" s="3">
        <f>Seigle_hybride!E15</f>
        <v>210</v>
      </c>
      <c r="BV15" s="3">
        <f>IF(Seigle_hybride!G15="",'Intermédiaire_Prod-Résultats'!BU15,Seigle_hybride!G15)</f>
        <v>210</v>
      </c>
    </row>
    <row r="16" spans="1:74" x14ac:dyDescent="0.25">
      <c r="A16" t="s">
        <v>15</v>
      </c>
      <c r="D16" s="3">
        <f>'Maïs-grain'!E16-IF(Saisies!B34="Oui",Saisies!B50*Saisies!B51*Saisies!B59,0)</f>
        <v>399.03</v>
      </c>
      <c r="E16" s="3">
        <f>IF('Maïs-grain'!G16="",'Maïs-grain'!E16-IF(Saisies!B34="Oui",IF(Saisies!C50="",Saisies!B50,Saisies!C50)*IF(Saisies!C51="",Saisies!B51,Saisies!C51)*IF(Saisies!C59="",Saisies!B59,Saisies!C59),0),'Maïs-grain'!G16)</f>
        <v>399.03</v>
      </c>
      <c r="G16" s="3">
        <f>Soya!E16</f>
        <v>47.68</v>
      </c>
      <c r="H16" s="3">
        <f>IF(Soya!G16="",'Intermédiaire_Prod-Résultats'!G16,Soya!G16)</f>
        <v>47.68</v>
      </c>
      <c r="J16" s="3">
        <f>Orge!E16</f>
        <v>196.99</v>
      </c>
      <c r="K16" s="3">
        <f>IF(Orge!G16="",'Intermédiaire_Prod-Résultats'!J16,Orge!G16)</f>
        <v>196.99</v>
      </c>
      <c r="M16" s="3">
        <f>Avoine!E16</f>
        <v>143.22999999999999</v>
      </c>
      <c r="N16" s="3">
        <f>IF(Avoine!G16="",'Intermédiaire_Prod-Résultats'!M16,Avoine!G16)</f>
        <v>143.22999999999999</v>
      </c>
      <c r="P16" s="3">
        <f>'Blé_d''automne'!E16</f>
        <v>237.55</v>
      </c>
      <c r="Q16" s="3">
        <f>IF('Blé_d''automne'!G16="",'Intermédiaire_Prod-Résultats'!P16,'Blé_d''automne'!G16)</f>
        <v>237.55</v>
      </c>
      <c r="S16" s="3">
        <f>Blé_printemps!E16</f>
        <v>237.55</v>
      </c>
      <c r="T16" s="3">
        <f>IF(Blé_printemps!G16="",'Intermédiaire_Prod-Résultats'!S16,Blé_printemps!G16)</f>
        <v>237.55</v>
      </c>
      <c r="V16" s="3">
        <f>Seigle!E16</f>
        <v>149.29</v>
      </c>
      <c r="W16" s="3">
        <f>IF(Seigle!G16="",'Intermédiaire_Prod-Résultats'!V16,Seigle!G16)</f>
        <v>149.29</v>
      </c>
      <c r="Y16" s="3">
        <f>Seigle_hybride!E16</f>
        <v>149</v>
      </c>
      <c r="Z16" s="3">
        <f>IF(Seigle_hybride!G16="",'Intermédiaire_Prod-Résultats'!Y16,Seigle_hybride!G16)</f>
        <v>149</v>
      </c>
      <c r="AA16" s="51"/>
      <c r="AB16" s="41">
        <f>'Maïs-grain'!E16-IF(Saisies!B34="Oui",Saisies!B51*Saisies!B50*Saisies!B60,0)</f>
        <v>345.53</v>
      </c>
      <c r="AC16" s="3">
        <f>IF('Maïs-grain'!G16="",'Maïs-grain'!E16-IF(Saisies!B34="Oui",IF(Saisies!C50="",Saisies!B50,Saisies!C50)*IF(Saisies!C51="",Saisies!B51,Saisies!C51)*IF(Saisies!C60="",Saisies!B60,Saisies!C60),0),'Maïs-grain'!G16)</f>
        <v>345.53</v>
      </c>
      <c r="AE16" s="3">
        <f>Soya!E16</f>
        <v>47.68</v>
      </c>
      <c r="AF16" s="3">
        <f>IF(Soya!G16="",'Intermédiaire_Prod-Résultats'!AE16,Soya!G16)</f>
        <v>47.68</v>
      </c>
      <c r="AH16" s="3">
        <f>Orge!E16</f>
        <v>196.99</v>
      </c>
      <c r="AI16" s="3">
        <f>IF(Orge!G16="",'Intermédiaire_Prod-Résultats'!AH16,Orge!G16)</f>
        <v>196.99</v>
      </c>
      <c r="AK16" s="3">
        <f>Avoine!E16</f>
        <v>143.22999999999999</v>
      </c>
      <c r="AL16" s="3">
        <f>IF(Avoine!G16="",'Intermédiaire_Prod-Résultats'!AK16,Avoine!G16)</f>
        <v>143.22999999999999</v>
      </c>
      <c r="AN16" s="3">
        <f>'Blé_d''automne'!E16</f>
        <v>237.55</v>
      </c>
      <c r="AO16" s="3">
        <f>IF('Blé_d''automne'!G16="",'Intermédiaire_Prod-Résultats'!AN16,'Blé_d''automne'!G16)</f>
        <v>237.55</v>
      </c>
      <c r="AQ16" s="3">
        <f>Blé_printemps!E16</f>
        <v>237.55</v>
      </c>
      <c r="AR16" s="3">
        <f>IF(Blé_printemps!G16="",'Intermédiaire_Prod-Résultats'!AQ16,Blé_printemps!G16)</f>
        <v>237.55</v>
      </c>
      <c r="AT16" s="3">
        <f>Seigle!E16</f>
        <v>149.29</v>
      </c>
      <c r="AU16" s="3">
        <f>IF(Seigle!G16="",'Intermédiaire_Prod-Résultats'!AT16,Seigle!G16)</f>
        <v>149.29</v>
      </c>
      <c r="AW16" s="3">
        <f>Seigle_hybride!E16</f>
        <v>149</v>
      </c>
      <c r="AX16" s="3">
        <f>IF(Seigle_hybride!G16="",'Intermédiaire_Prod-Résultats'!AW16,Seigle_hybride!G16)</f>
        <v>149</v>
      </c>
      <c r="AY16" s="51"/>
      <c r="AZ16" s="41">
        <f>'Maïs-grain'!E16-IF(Saisies!B34="Oui",Saisies!B50*Saisies!B51*Saisies!B61,0)</f>
        <v>292.02999999999997</v>
      </c>
      <c r="BA16" s="3">
        <f>IF('Maïs-grain'!G16="",'Maïs-grain'!E16-IF(Saisies!B34="Oui",IF(Saisies!C50="",Saisies!B50,Saisies!C50)*IF(Saisies!C51="",Saisies!B51,Saisies!C51)*IF(Saisies!C61="",Saisies!B61,Saisies!C61),0),'Maïs-grain'!G16)</f>
        <v>292.02999999999997</v>
      </c>
      <c r="BC16" s="3">
        <f>Soya!E16</f>
        <v>47.68</v>
      </c>
      <c r="BD16" s="3">
        <f>IF(Soya!G16="",'Intermédiaire_Prod-Résultats'!BC16,Soya!G16)</f>
        <v>47.68</v>
      </c>
      <c r="BF16" s="3">
        <f>Orge!E16</f>
        <v>196.99</v>
      </c>
      <c r="BG16" s="3">
        <f>IF(Orge!G16="",'Intermédiaire_Prod-Résultats'!BF16,Orge!G16)</f>
        <v>196.99</v>
      </c>
      <c r="BI16" s="3">
        <f>Avoine!E16</f>
        <v>143.22999999999999</v>
      </c>
      <c r="BJ16" s="3">
        <f>IF(Avoine!G16="",'Intermédiaire_Prod-Résultats'!BI16,Avoine!G16)</f>
        <v>143.22999999999999</v>
      </c>
      <c r="BL16" s="3">
        <f>'Blé_d''automne'!E16</f>
        <v>237.55</v>
      </c>
      <c r="BM16" s="3">
        <f>IF('Blé_d''automne'!G16="",'Intermédiaire_Prod-Résultats'!BL16,'Blé_d''automne'!G16)</f>
        <v>237.55</v>
      </c>
      <c r="BO16" s="3">
        <f>Blé_printemps!E16</f>
        <v>237.55</v>
      </c>
      <c r="BP16" s="3">
        <f>IF(Blé_printemps!G16="",'Intermédiaire_Prod-Résultats'!BO16,Blé_printemps!G16)</f>
        <v>237.55</v>
      </c>
      <c r="BR16" s="3">
        <f>Seigle!E16</f>
        <v>149.29</v>
      </c>
      <c r="BS16" s="3">
        <f>IF(Seigle!G16="",'Intermédiaire_Prod-Résultats'!BR16,Seigle!G16)</f>
        <v>149.29</v>
      </c>
      <c r="BU16" s="3">
        <f>Seigle_hybride!E16</f>
        <v>149</v>
      </c>
      <c r="BV16" s="3">
        <f>IF(Seigle_hybride!G16="",'Intermédiaire_Prod-Résultats'!BU16,Seigle_hybride!G16)</f>
        <v>149</v>
      </c>
    </row>
    <row r="17" spans="1:74" x14ac:dyDescent="0.25">
      <c r="A17" t="s">
        <v>16</v>
      </c>
      <c r="D17" s="3">
        <f>'Maïs-grain'!E17</f>
        <v>7.31</v>
      </c>
      <c r="E17" s="3">
        <f>IF('Maïs-grain'!G17="",'Intermédiaire_Prod-Résultats'!D17,'Maïs-grain'!G17)</f>
        <v>7.31</v>
      </c>
      <c r="G17" s="3">
        <f>Soya!E17</f>
        <v>2.69</v>
      </c>
      <c r="H17" s="3">
        <f>IF(Soya!G17="",'Intermédiaire_Prod-Résultats'!G17,Soya!G17)</f>
        <v>2.69</v>
      </c>
      <c r="J17" s="3">
        <f>Orge!E17</f>
        <v>6.71</v>
      </c>
      <c r="K17" s="3">
        <f>IF(Orge!G17="",'Intermédiaire_Prod-Résultats'!J17,Orge!G17)</f>
        <v>6.71</v>
      </c>
      <c r="M17" s="3">
        <f>Avoine!E17</f>
        <v>9.83</v>
      </c>
      <c r="N17" s="3">
        <f>IF(Avoine!G17="",'Intermédiaire_Prod-Résultats'!M17,Avoine!G17)</f>
        <v>9.83</v>
      </c>
      <c r="P17" s="3">
        <f>'Blé_d''automne'!E17</f>
        <v>5.76</v>
      </c>
      <c r="Q17" s="3">
        <f>IF('Blé_d''automne'!G17="",'Intermédiaire_Prod-Résultats'!P17,'Blé_d''automne'!G17)</f>
        <v>5.76</v>
      </c>
      <c r="S17" s="3">
        <f>Blé_printemps!E17</f>
        <v>5.76</v>
      </c>
      <c r="T17" s="3">
        <f>IF(Blé_printemps!G17="",'Intermédiaire_Prod-Résultats'!S17,Blé_printemps!G17)</f>
        <v>5.76</v>
      </c>
      <c r="V17" s="3">
        <f>Seigle!E17</f>
        <v>0</v>
      </c>
      <c r="W17" s="3">
        <f>IF(Seigle!G17="",'Intermédiaire_Prod-Résultats'!V17,Seigle!G17)</f>
        <v>0</v>
      </c>
      <c r="Y17" s="3">
        <f>Seigle_hybride!E17</f>
        <v>0</v>
      </c>
      <c r="Z17" s="3">
        <f>IF(Seigle_hybride!G17="",'Intermédiaire_Prod-Résultats'!Y17,Seigle_hybride!G17)</f>
        <v>0</v>
      </c>
      <c r="AA17" s="51"/>
      <c r="AB17" s="41">
        <f>'Maïs-grain'!E17</f>
        <v>7.31</v>
      </c>
      <c r="AC17" s="3">
        <f>IF('Maïs-grain'!G17="",'Intermédiaire_Prod-Résultats'!AB17,'Maïs-grain'!G17)</f>
        <v>7.31</v>
      </c>
      <c r="AE17" s="3">
        <f>Soya!E17</f>
        <v>2.69</v>
      </c>
      <c r="AF17" s="3">
        <f>IF(Soya!G17="",'Intermédiaire_Prod-Résultats'!AE17,Soya!G17)</f>
        <v>2.69</v>
      </c>
      <c r="AH17" s="3">
        <f>Orge!E17</f>
        <v>6.71</v>
      </c>
      <c r="AI17" s="3">
        <f>IF(Orge!G17="",'Intermédiaire_Prod-Résultats'!AH17,Orge!G17)</f>
        <v>6.71</v>
      </c>
      <c r="AK17" s="3">
        <f>Avoine!E17</f>
        <v>9.83</v>
      </c>
      <c r="AL17" s="3">
        <f>IF(Avoine!G17="",'Intermédiaire_Prod-Résultats'!AK17,Avoine!G17)</f>
        <v>9.83</v>
      </c>
      <c r="AN17" s="3">
        <f>'Blé_d''automne'!E17</f>
        <v>5.76</v>
      </c>
      <c r="AO17" s="3">
        <f>IF('Blé_d''automne'!G17="",'Intermédiaire_Prod-Résultats'!AN17,'Blé_d''automne'!G17)</f>
        <v>5.76</v>
      </c>
      <c r="AQ17" s="3">
        <f>Blé_printemps!E17</f>
        <v>5.76</v>
      </c>
      <c r="AR17" s="3">
        <f>IF(Blé_printemps!G17="",'Intermédiaire_Prod-Résultats'!AQ17,Blé_printemps!G17)</f>
        <v>5.76</v>
      </c>
      <c r="AT17" s="3">
        <f>Seigle!E17</f>
        <v>0</v>
      </c>
      <c r="AU17" s="3">
        <f>IF(Seigle!G17="",'Intermédiaire_Prod-Résultats'!AT17,Seigle!G17)</f>
        <v>0</v>
      </c>
      <c r="AW17" s="3">
        <f>Seigle_hybride!E17</f>
        <v>0</v>
      </c>
      <c r="AX17" s="3">
        <f>IF(Seigle_hybride!G17="",'Intermédiaire_Prod-Résultats'!AW17,Seigle_hybride!G17)</f>
        <v>0</v>
      </c>
      <c r="AY17" s="51"/>
      <c r="AZ17" s="41">
        <f>'Maïs-grain'!E17</f>
        <v>7.31</v>
      </c>
      <c r="BA17" s="3">
        <f>IF('Maïs-grain'!G17="",'Intermédiaire_Prod-Résultats'!AZ17,'Maïs-grain'!G17)</f>
        <v>7.31</v>
      </c>
      <c r="BC17" s="3">
        <f>Soya!E17</f>
        <v>2.69</v>
      </c>
      <c r="BD17" s="3">
        <f>IF(Soya!G17="",'Intermédiaire_Prod-Résultats'!BC17,Soya!G17)</f>
        <v>2.69</v>
      </c>
      <c r="BF17" s="3">
        <f>Orge!E17</f>
        <v>6.71</v>
      </c>
      <c r="BG17" s="3">
        <f>IF(Orge!G17="",'Intermédiaire_Prod-Résultats'!BF17,Orge!G17)</f>
        <v>6.71</v>
      </c>
      <c r="BI17" s="3">
        <f>Avoine!E17</f>
        <v>9.83</v>
      </c>
      <c r="BJ17" s="3">
        <f>IF(Avoine!G17="",'Intermédiaire_Prod-Résultats'!BI17,Avoine!G17)</f>
        <v>9.83</v>
      </c>
      <c r="BL17" s="3">
        <f>'Blé_d''automne'!E17</f>
        <v>5.76</v>
      </c>
      <c r="BM17" s="3">
        <f>IF('Blé_d''automne'!G17="",'Intermédiaire_Prod-Résultats'!BL17,'Blé_d''automne'!G17)</f>
        <v>5.76</v>
      </c>
      <c r="BO17" s="3">
        <f>Blé_printemps!E17</f>
        <v>5.76</v>
      </c>
      <c r="BP17" s="3">
        <f>IF(Blé_printemps!G17="",'Intermédiaire_Prod-Résultats'!BO17,Blé_printemps!G17)</f>
        <v>5.76</v>
      </c>
      <c r="BR17" s="3">
        <f>Seigle!E17</f>
        <v>0</v>
      </c>
      <c r="BS17" s="3">
        <f>IF(Seigle!G17="",'Intermédiaire_Prod-Résultats'!BR17,Seigle!G17)</f>
        <v>0</v>
      </c>
      <c r="BU17" s="3">
        <f>Seigle_hybride!E17</f>
        <v>0</v>
      </c>
      <c r="BV17" s="3">
        <f>IF(Seigle_hybride!G17="",'Intermédiaire_Prod-Résultats'!BU17,Seigle_hybride!G17)</f>
        <v>0</v>
      </c>
    </row>
    <row r="18" spans="1:74" x14ac:dyDescent="0.25">
      <c r="A18" t="s">
        <v>17</v>
      </c>
      <c r="D18" s="3">
        <f>'Maïs-grain'!E18</f>
        <v>60.69</v>
      </c>
      <c r="E18" s="3">
        <f>IF('Maïs-grain'!G18="",'Intermédiaire_Prod-Résultats'!D18,'Maïs-grain'!G18)</f>
        <v>60.69</v>
      </c>
      <c r="G18" s="3">
        <f>Soya!E18</f>
        <v>93.36</v>
      </c>
      <c r="H18" s="3">
        <f>IF(Soya!G18="",'Intermédiaire_Prod-Résultats'!G18,Soya!G18)</f>
        <v>93.36</v>
      </c>
      <c r="J18" s="3">
        <f>Orge!E18</f>
        <v>70.63</v>
      </c>
      <c r="K18" s="3">
        <f>IF(Orge!G18="",'Intermédiaire_Prod-Résultats'!J18,Orge!G18)</f>
        <v>70.63</v>
      </c>
      <c r="M18" s="3">
        <f>Avoine!E18</f>
        <v>32.659999999999997</v>
      </c>
      <c r="N18" s="3">
        <f>IF(Avoine!G18="",'Intermédiaire_Prod-Résultats'!M18,Avoine!G18)</f>
        <v>32.659999999999997</v>
      </c>
      <c r="P18" s="3">
        <f>'Blé_d''automne'!E18</f>
        <v>23.73</v>
      </c>
      <c r="Q18" s="3">
        <f>IF('Blé_d''automne'!G18="",'Intermédiaire_Prod-Résultats'!P18,'Blé_d''automne'!G18)</f>
        <v>23.73</v>
      </c>
      <c r="S18" s="3">
        <f>Blé_printemps!E18</f>
        <v>42.37</v>
      </c>
      <c r="T18" s="3">
        <f>IF(Blé_printemps!G18="",'Intermédiaire_Prod-Résultats'!S18,Blé_printemps!G18)</f>
        <v>42.37</v>
      </c>
      <c r="V18" s="3">
        <f>Seigle!E18</f>
        <v>3.44</v>
      </c>
      <c r="W18" s="3">
        <f>IF(Seigle!G18="",'Intermédiaire_Prod-Résultats'!V18,Seigle!G18)</f>
        <v>3.44</v>
      </c>
      <c r="Y18" s="3">
        <f>Seigle_hybride!E18</f>
        <v>3.44</v>
      </c>
      <c r="Z18" s="3">
        <f>IF(Seigle_hybride!G18="",'Intermédiaire_Prod-Résultats'!Y18,Seigle_hybride!G18)</f>
        <v>3.44</v>
      </c>
      <c r="AA18" s="51"/>
      <c r="AB18" s="41">
        <f>'Maïs-grain'!E18</f>
        <v>60.69</v>
      </c>
      <c r="AC18" s="3">
        <f>IF('Maïs-grain'!G18="",'Intermédiaire_Prod-Résultats'!AB18,'Maïs-grain'!G18)</f>
        <v>60.69</v>
      </c>
      <c r="AE18" s="3">
        <f>Soya!E18</f>
        <v>93.36</v>
      </c>
      <c r="AF18" s="3">
        <f>IF(Soya!G18="",'Intermédiaire_Prod-Résultats'!AE18,Soya!G18)</f>
        <v>93.36</v>
      </c>
      <c r="AH18" s="3">
        <f>Orge!E18</f>
        <v>70.63</v>
      </c>
      <c r="AI18" s="3">
        <f>IF(Orge!G18="",'Intermédiaire_Prod-Résultats'!AH18,Orge!G18)</f>
        <v>70.63</v>
      </c>
      <c r="AK18" s="3">
        <f>Avoine!E18</f>
        <v>32.659999999999997</v>
      </c>
      <c r="AL18" s="3">
        <f>IF(Avoine!G18="",'Intermédiaire_Prod-Résultats'!AK18,Avoine!G18)</f>
        <v>32.659999999999997</v>
      </c>
      <c r="AN18" s="3">
        <f>'Blé_d''automne'!E18</f>
        <v>23.73</v>
      </c>
      <c r="AO18" s="3">
        <f>IF('Blé_d''automne'!G18="",'Intermédiaire_Prod-Résultats'!AN18,'Blé_d''automne'!G18)</f>
        <v>23.73</v>
      </c>
      <c r="AQ18" s="3">
        <f>Blé_printemps!E18</f>
        <v>42.37</v>
      </c>
      <c r="AR18" s="3">
        <f>IF(Blé_printemps!G18="",'Intermédiaire_Prod-Résultats'!AQ18,Blé_printemps!G18)</f>
        <v>42.37</v>
      </c>
      <c r="AT18" s="3">
        <f>Seigle!E18</f>
        <v>3.44</v>
      </c>
      <c r="AU18" s="3">
        <f>IF(Seigle!G18="",'Intermédiaire_Prod-Résultats'!AT18,Seigle!G18)</f>
        <v>3.44</v>
      </c>
      <c r="AW18" s="3">
        <f>Seigle_hybride!E18</f>
        <v>3.44</v>
      </c>
      <c r="AX18" s="3">
        <f>IF(Seigle_hybride!G18="",'Intermédiaire_Prod-Résultats'!AW18,Seigle_hybride!G18)</f>
        <v>3.44</v>
      </c>
      <c r="AY18" s="51"/>
      <c r="AZ18" s="41">
        <f>'Maïs-grain'!E18</f>
        <v>60.69</v>
      </c>
      <c r="BA18" s="3">
        <f>IF('Maïs-grain'!G18="",'Intermédiaire_Prod-Résultats'!AZ18,'Maïs-grain'!G18)</f>
        <v>60.69</v>
      </c>
      <c r="BC18" s="3">
        <f>Soya!E18</f>
        <v>93.36</v>
      </c>
      <c r="BD18" s="3">
        <f>IF(Soya!G18="",'Intermédiaire_Prod-Résultats'!BC18,Soya!G18)</f>
        <v>93.36</v>
      </c>
      <c r="BF18" s="3">
        <f>Orge!E18</f>
        <v>70.63</v>
      </c>
      <c r="BG18" s="3">
        <f>IF(Orge!G18="",'Intermédiaire_Prod-Résultats'!BF18,Orge!G18)</f>
        <v>70.63</v>
      </c>
      <c r="BI18" s="3">
        <f>Avoine!E18</f>
        <v>32.659999999999997</v>
      </c>
      <c r="BJ18" s="3">
        <f>IF(Avoine!G18="",'Intermédiaire_Prod-Résultats'!BI18,Avoine!G18)</f>
        <v>32.659999999999997</v>
      </c>
      <c r="BL18" s="3">
        <f>'Blé_d''automne'!E18</f>
        <v>23.73</v>
      </c>
      <c r="BM18" s="3">
        <f>IF('Blé_d''automne'!G18="",'Intermédiaire_Prod-Résultats'!BL18,'Blé_d''automne'!G18)</f>
        <v>23.73</v>
      </c>
      <c r="BO18" s="3">
        <f>Blé_printemps!E18</f>
        <v>42.37</v>
      </c>
      <c r="BP18" s="3">
        <f>IF(Blé_printemps!G18="",'Intermédiaire_Prod-Résultats'!BO18,Blé_printemps!G18)</f>
        <v>42.37</v>
      </c>
      <c r="BR18" s="3">
        <f>Seigle!E18</f>
        <v>3.44</v>
      </c>
      <c r="BS18" s="3">
        <f>IF(Seigle!G18="",'Intermédiaire_Prod-Résultats'!BR18,Seigle!G18)</f>
        <v>3.44</v>
      </c>
      <c r="BU18" s="3">
        <f>Seigle_hybride!E18</f>
        <v>3.44</v>
      </c>
      <c r="BV18" s="3">
        <f>IF(Seigle_hybride!G18="",'Intermédiaire_Prod-Résultats'!BU18,Seigle_hybride!G18)</f>
        <v>3.44</v>
      </c>
    </row>
    <row r="19" spans="1:74" x14ac:dyDescent="0.25">
      <c r="A19" t="s">
        <v>18</v>
      </c>
      <c r="D19" s="3">
        <f>'Maïs-grain'!E20</f>
        <v>7.12</v>
      </c>
      <c r="E19" s="3">
        <f>IF('Maïs-grain'!G20="",'Intermédiaire_Prod-Résultats'!D19,'Maïs-grain'!G20)</f>
        <v>7.12</v>
      </c>
      <c r="G19" s="3">
        <f>Soya!E20</f>
        <v>10.63</v>
      </c>
      <c r="H19" s="3">
        <f>IF(Soya!G20="",'Intermédiaire_Prod-Résultats'!G19,Soya!G20)</f>
        <v>10.63</v>
      </c>
      <c r="J19" s="3">
        <f>Orge!E20</f>
        <v>88.99</v>
      </c>
      <c r="K19" s="3">
        <f>IF(Orge!G20="",'Intermédiaire_Prod-Résultats'!J19,Orge!G20)</f>
        <v>88.99</v>
      </c>
      <c r="M19" s="3">
        <f>Avoine!E20</f>
        <v>51.82</v>
      </c>
      <c r="N19" s="3">
        <f>IF(Avoine!G20="",'Intermédiaire_Prod-Résultats'!M19,Avoine!G20)</f>
        <v>51.82</v>
      </c>
      <c r="P19" s="3">
        <f>'Blé_d''automne'!E20</f>
        <v>36.26</v>
      </c>
      <c r="Q19" s="3">
        <f>IF('Blé_d''automne'!G20="",'Intermédiaire_Prod-Résultats'!P19,'Blé_d''automne'!G20)</f>
        <v>36.26</v>
      </c>
      <c r="S19" s="3">
        <f>Blé_printemps!E20</f>
        <v>36.26</v>
      </c>
      <c r="T19" s="3">
        <f>IF(Blé_printemps!G20="",'Intermédiaire_Prod-Résultats'!S19,Blé_printemps!G20)</f>
        <v>36.26</v>
      </c>
      <c r="V19" s="3">
        <f>Seigle!E20</f>
        <v>172.69</v>
      </c>
      <c r="W19" s="3">
        <f>IF(Seigle!G20="",'Intermédiaire_Prod-Résultats'!V19,Seigle!G20)</f>
        <v>172.69</v>
      </c>
      <c r="Y19" s="3">
        <f>Seigle_hybride!E20</f>
        <v>172.69</v>
      </c>
      <c r="Z19" s="3">
        <f>IF(Seigle_hybride!G20="",'Intermédiaire_Prod-Résultats'!Y19,Seigle_hybride!G20)</f>
        <v>172.69</v>
      </c>
      <c r="AA19" s="51"/>
      <c r="AB19" s="41">
        <f>'Maïs-grain'!E20</f>
        <v>7.12</v>
      </c>
      <c r="AC19" s="3">
        <f>IF('Maïs-grain'!G20="",'Intermédiaire_Prod-Résultats'!AB19,'Maïs-grain'!G20)</f>
        <v>7.12</v>
      </c>
      <c r="AE19" s="3">
        <f>Soya!E20</f>
        <v>10.63</v>
      </c>
      <c r="AF19" s="3">
        <f>IF(Soya!G20="",'Intermédiaire_Prod-Résultats'!AE19,Soya!G20)</f>
        <v>10.63</v>
      </c>
      <c r="AH19" s="3">
        <f>Orge!E20</f>
        <v>88.99</v>
      </c>
      <c r="AI19" s="3">
        <f>IF(Orge!G20="",'Intermédiaire_Prod-Résultats'!AH19,Orge!G20)</f>
        <v>88.99</v>
      </c>
      <c r="AK19" s="3">
        <f>Avoine!E20</f>
        <v>51.82</v>
      </c>
      <c r="AL19" s="3">
        <f>IF(Avoine!G20="",'Intermédiaire_Prod-Résultats'!AK19,Avoine!G20)</f>
        <v>51.82</v>
      </c>
      <c r="AN19" s="3">
        <f>'Blé_d''automne'!E20</f>
        <v>36.26</v>
      </c>
      <c r="AO19" s="3">
        <f>IF('Blé_d''automne'!G20="",'Intermédiaire_Prod-Résultats'!AN19,'Blé_d''automne'!G20)</f>
        <v>36.26</v>
      </c>
      <c r="AQ19" s="3">
        <f>Blé_printemps!E20</f>
        <v>36.26</v>
      </c>
      <c r="AR19" s="3">
        <f>IF(Blé_printemps!G20="",'Intermédiaire_Prod-Résultats'!AQ19,Blé_printemps!G20)</f>
        <v>36.26</v>
      </c>
      <c r="AT19" s="3">
        <f>Seigle!E20</f>
        <v>172.69</v>
      </c>
      <c r="AU19" s="3">
        <f>IF(Seigle!G20="",'Intermédiaire_Prod-Résultats'!AT19,Seigle!G20)</f>
        <v>172.69</v>
      </c>
      <c r="AW19" s="3">
        <f>Seigle_hybride!E20</f>
        <v>172.69</v>
      </c>
      <c r="AX19" s="3">
        <f>IF(Seigle_hybride!G20="",'Intermédiaire_Prod-Résultats'!AW19,Seigle_hybride!G20)</f>
        <v>172.69</v>
      </c>
      <c r="AY19" s="51"/>
      <c r="AZ19" s="41">
        <f>'Maïs-grain'!E20</f>
        <v>7.12</v>
      </c>
      <c r="BA19" s="3">
        <f>IF('Maïs-grain'!G20="",'Intermédiaire_Prod-Résultats'!AZ19,'Maïs-grain'!G20)</f>
        <v>7.12</v>
      </c>
      <c r="BC19" s="3">
        <f>Soya!E20</f>
        <v>10.63</v>
      </c>
      <c r="BD19" s="3">
        <f>IF(Soya!G20="",'Intermédiaire_Prod-Résultats'!BC19,Soya!G20)</f>
        <v>10.63</v>
      </c>
      <c r="BF19" s="3">
        <f>Orge!E20</f>
        <v>88.99</v>
      </c>
      <c r="BG19" s="3">
        <f>IF(Orge!G20="",'Intermédiaire_Prod-Résultats'!BF19,Orge!G20)</f>
        <v>88.99</v>
      </c>
      <c r="BI19" s="3">
        <f>Avoine!E20</f>
        <v>51.82</v>
      </c>
      <c r="BJ19" s="3">
        <f>IF(Avoine!G20="",'Intermédiaire_Prod-Résultats'!BI19,Avoine!G20)</f>
        <v>51.82</v>
      </c>
      <c r="BL19" s="3">
        <f>'Blé_d''automne'!E20</f>
        <v>36.26</v>
      </c>
      <c r="BM19" s="3">
        <f>IF('Blé_d''automne'!G20="",'Intermédiaire_Prod-Résultats'!BL19,'Blé_d''automne'!G20)</f>
        <v>36.26</v>
      </c>
      <c r="BO19" s="3">
        <f>Blé_printemps!E20</f>
        <v>36.26</v>
      </c>
      <c r="BP19" s="3">
        <f>IF(Blé_printemps!G20="",'Intermédiaire_Prod-Résultats'!BO19,Blé_printemps!G20)</f>
        <v>36.26</v>
      </c>
      <c r="BR19" s="3">
        <f>Seigle!E20</f>
        <v>172.69</v>
      </c>
      <c r="BS19" s="3">
        <f>IF(Seigle!G20="",'Intermédiaire_Prod-Résultats'!BR19,Seigle!G20)</f>
        <v>172.69</v>
      </c>
      <c r="BU19" s="3">
        <f>Seigle_hybride!E20</f>
        <v>172.69</v>
      </c>
      <c r="BV19" s="3">
        <f>IF(Seigle_hybride!G20="",'Intermédiaire_Prod-Résultats'!BU19,Seigle_hybride!G20)</f>
        <v>172.69</v>
      </c>
    </row>
    <row r="20" spans="1:74" x14ac:dyDescent="0.25">
      <c r="A20" t="s">
        <v>19</v>
      </c>
      <c r="D20" s="3">
        <f>'Maïs-grain'!E21</f>
        <v>125.6</v>
      </c>
      <c r="E20" s="3">
        <f>IF('Maïs-grain'!G21="",'Intermédiaire_Prod-Résultats'!D20,'Maïs-grain'!G21)</f>
        <v>125.6</v>
      </c>
      <c r="G20" s="3">
        <f>Soya!E21</f>
        <v>125.62</v>
      </c>
      <c r="H20" s="3">
        <f>IF(Soya!G21="",'Intermédiaire_Prod-Résultats'!G20,Soya!G21)</f>
        <v>125.62</v>
      </c>
      <c r="J20" s="3">
        <f>Orge!E21</f>
        <v>147.88999999999999</v>
      </c>
      <c r="K20" s="3">
        <f>IF(Orge!G21="",'Intermédiaire_Prod-Résultats'!J20,Orge!G21)</f>
        <v>147.88999999999999</v>
      </c>
      <c r="M20" s="3">
        <f>Avoine!E21</f>
        <v>64.040000000000006</v>
      </c>
      <c r="N20" s="3">
        <f>IF(Avoine!G21="",'Intermédiaire_Prod-Résultats'!M20,Avoine!G21)</f>
        <v>64.040000000000006</v>
      </c>
      <c r="P20" s="3">
        <f>'Blé_d''automne'!E21</f>
        <v>177.78</v>
      </c>
      <c r="Q20" s="3">
        <f>IF('Blé_d''automne'!G21="",'Intermédiaire_Prod-Résultats'!P20,'Blé_d''automne'!G21)</f>
        <v>177.78</v>
      </c>
      <c r="S20" s="3">
        <f>Blé_printemps!E21</f>
        <v>177.78</v>
      </c>
      <c r="T20" s="3">
        <f>IF(Blé_printemps!G21="",'Intermédiaire_Prod-Résultats'!S20,Blé_printemps!G21)</f>
        <v>177.78</v>
      </c>
      <c r="V20" s="3">
        <f>Seigle!E21</f>
        <v>0</v>
      </c>
      <c r="W20" s="3">
        <f>IF(Seigle!G21="",'Intermédiaire_Prod-Résultats'!V20,Seigle!G21)</f>
        <v>0</v>
      </c>
      <c r="Y20" s="3">
        <f>Seigle_hybride!E21</f>
        <v>0</v>
      </c>
      <c r="Z20" s="3">
        <f>IF(Seigle_hybride!G21="",'Intermédiaire_Prod-Résultats'!Y20,Seigle_hybride!G21)</f>
        <v>0</v>
      </c>
      <c r="AA20" s="51"/>
      <c r="AB20" s="41">
        <f>'Maïs-grain'!E21</f>
        <v>125.6</v>
      </c>
      <c r="AC20" s="3">
        <f>IF('Maïs-grain'!G21="",'Intermédiaire_Prod-Résultats'!AB20,'Maïs-grain'!G21)</f>
        <v>125.6</v>
      </c>
      <c r="AE20" s="3">
        <f>Soya!E21</f>
        <v>125.62</v>
      </c>
      <c r="AF20" s="3">
        <f>IF(Soya!G21="",'Intermédiaire_Prod-Résultats'!AE20,Soya!G21)</f>
        <v>125.62</v>
      </c>
      <c r="AH20" s="3">
        <f>Orge!E21</f>
        <v>147.88999999999999</v>
      </c>
      <c r="AI20" s="3">
        <f>IF(Orge!G21="",'Intermédiaire_Prod-Résultats'!AH20,Orge!G21)</f>
        <v>147.88999999999999</v>
      </c>
      <c r="AK20" s="3">
        <f>Avoine!E21</f>
        <v>64.040000000000006</v>
      </c>
      <c r="AL20" s="3">
        <f>IF(Avoine!G21="",'Intermédiaire_Prod-Résultats'!AK20,Avoine!G21)</f>
        <v>64.040000000000006</v>
      </c>
      <c r="AN20" s="3">
        <f>'Blé_d''automne'!E21</f>
        <v>177.78</v>
      </c>
      <c r="AO20" s="3">
        <f>IF('Blé_d''automne'!G21="",'Intermédiaire_Prod-Résultats'!AN20,'Blé_d''automne'!G21)</f>
        <v>177.78</v>
      </c>
      <c r="AQ20" s="3">
        <f>Blé_printemps!E21</f>
        <v>177.78</v>
      </c>
      <c r="AR20" s="3">
        <f>IF(Blé_printemps!G21="",'Intermédiaire_Prod-Résultats'!AQ20,Blé_printemps!G21)</f>
        <v>177.78</v>
      </c>
      <c r="AT20" s="3">
        <f>Seigle!E21</f>
        <v>0</v>
      </c>
      <c r="AU20" s="3">
        <f>IF(Seigle!G21="",'Intermédiaire_Prod-Résultats'!AT20,Seigle!G21)</f>
        <v>0</v>
      </c>
      <c r="AW20" s="3">
        <f>Seigle_hybride!E21</f>
        <v>0</v>
      </c>
      <c r="AX20" s="3">
        <f>IF(Seigle_hybride!G21="",'Intermédiaire_Prod-Résultats'!AW20,Seigle_hybride!G21)</f>
        <v>0</v>
      </c>
      <c r="AY20" s="51"/>
      <c r="AZ20" s="41">
        <f>'Maïs-grain'!E21</f>
        <v>125.6</v>
      </c>
      <c r="BA20" s="3">
        <f>IF('Maïs-grain'!G21="",'Intermédiaire_Prod-Résultats'!AZ20,'Maïs-grain'!G21)</f>
        <v>125.6</v>
      </c>
      <c r="BC20" s="3">
        <f>Soya!E21</f>
        <v>125.62</v>
      </c>
      <c r="BD20" s="3">
        <f>IF(Soya!G21="",'Intermédiaire_Prod-Résultats'!BC20,Soya!G21)</f>
        <v>125.62</v>
      </c>
      <c r="BF20" s="3">
        <f>Orge!E21</f>
        <v>147.88999999999999</v>
      </c>
      <c r="BG20" s="3">
        <f>IF(Orge!G21="",'Intermédiaire_Prod-Résultats'!BF20,Orge!G21)</f>
        <v>147.88999999999999</v>
      </c>
      <c r="BI20" s="3">
        <f>Avoine!E21</f>
        <v>64.040000000000006</v>
      </c>
      <c r="BJ20" s="3">
        <f>IF(Avoine!G21="",'Intermédiaire_Prod-Résultats'!BI20,Avoine!G21)</f>
        <v>64.040000000000006</v>
      </c>
      <c r="BL20" s="3">
        <f>'Blé_d''automne'!E21</f>
        <v>177.78</v>
      </c>
      <c r="BM20" s="3">
        <f>IF('Blé_d''automne'!G21="",'Intermédiaire_Prod-Résultats'!BL20,'Blé_d''automne'!G21)</f>
        <v>177.78</v>
      </c>
      <c r="BO20" s="3">
        <f>Blé_printemps!E21</f>
        <v>177.78</v>
      </c>
      <c r="BP20" s="3">
        <f>IF(Blé_printemps!G21="",'Intermédiaire_Prod-Résultats'!BO20,Blé_printemps!G21)</f>
        <v>177.78</v>
      </c>
      <c r="BR20" s="3">
        <f>Seigle!E21</f>
        <v>0</v>
      </c>
      <c r="BS20" s="3">
        <f>IF(Seigle!G21="",'Intermédiaire_Prod-Résultats'!BR20,Seigle!G21)</f>
        <v>0</v>
      </c>
      <c r="BU20" s="3">
        <f>Seigle_hybride!E21</f>
        <v>0</v>
      </c>
      <c r="BV20" s="3">
        <f>IF(Seigle_hybride!G21="",'Intermédiaire_Prod-Résultats'!BU20,Seigle_hybride!G21)</f>
        <v>0</v>
      </c>
    </row>
    <row r="21" spans="1:74" x14ac:dyDescent="0.25">
      <c r="A21" t="s">
        <v>20</v>
      </c>
      <c r="D21" s="3">
        <f>'Maïs-grain'!E22</f>
        <v>79.930000000000007</v>
      </c>
      <c r="E21" s="3">
        <f>IF('Maïs-grain'!G22="",'Intermédiaire_Prod-Résultats'!D21,'Maïs-grain'!G22)</f>
        <v>79.930000000000007</v>
      </c>
      <c r="G21" s="3">
        <f>Soya!E22</f>
        <v>39.549999999999997</v>
      </c>
      <c r="H21" s="3">
        <f>IF(Soya!G22="",'Intermédiaire_Prod-Résultats'!G21,Soya!G22)</f>
        <v>39.549999999999997</v>
      </c>
      <c r="J21" s="3">
        <f>Orge!E22</f>
        <v>19.36</v>
      </c>
      <c r="K21" s="3">
        <f>IF(Orge!G22="",'Intermédiaire_Prod-Résultats'!J21,Orge!G22)</f>
        <v>19.36</v>
      </c>
      <c r="M21" s="3">
        <f>Avoine!E22</f>
        <v>31.06</v>
      </c>
      <c r="N21" s="3">
        <f>IF(Avoine!G22="",'Intermédiaire_Prod-Résultats'!M21,Avoine!G22)</f>
        <v>31.06</v>
      </c>
      <c r="P21" s="3">
        <f>'Blé_d''automne'!E22</f>
        <v>47.6</v>
      </c>
      <c r="Q21" s="3">
        <f>IF('Blé_d''automne'!G22="",'Intermédiaire_Prod-Résultats'!P21,'Blé_d''automne'!G22)</f>
        <v>47.6</v>
      </c>
      <c r="S21" s="3">
        <f>Blé_printemps!E22</f>
        <v>47.6</v>
      </c>
      <c r="T21" s="3">
        <f>IF(Blé_printemps!G22="",'Intermédiaire_Prod-Résultats'!S21,Blé_printemps!G22)</f>
        <v>47.6</v>
      </c>
      <c r="V21" s="3">
        <f>Seigle!E22</f>
        <v>0</v>
      </c>
      <c r="W21" s="3">
        <f>IF(Seigle!G22="",'Intermédiaire_Prod-Résultats'!V21,Seigle!G22)</f>
        <v>0</v>
      </c>
      <c r="Y21" s="3">
        <f>Seigle_hybride!E22</f>
        <v>0</v>
      </c>
      <c r="Z21" s="3">
        <f>IF(Seigle_hybride!G22="",'Intermédiaire_Prod-Résultats'!Y21,Seigle_hybride!G22)</f>
        <v>0</v>
      </c>
      <c r="AA21" s="51"/>
      <c r="AB21" s="41">
        <f>'Maïs-grain'!E22</f>
        <v>79.930000000000007</v>
      </c>
      <c r="AC21" s="3">
        <f>IF('Maïs-grain'!G22="",'Intermédiaire_Prod-Résultats'!AB21,'Maïs-grain'!G22)</f>
        <v>79.930000000000007</v>
      </c>
      <c r="AE21" s="3">
        <f>Soya!E22</f>
        <v>39.549999999999997</v>
      </c>
      <c r="AF21" s="3">
        <f>IF(Soya!G22="",'Intermédiaire_Prod-Résultats'!AE21,Soya!G22)</f>
        <v>39.549999999999997</v>
      </c>
      <c r="AH21" s="3">
        <f>Orge!E22</f>
        <v>19.36</v>
      </c>
      <c r="AI21" s="3">
        <f>IF(Orge!G22="",'Intermédiaire_Prod-Résultats'!AH21,Orge!G22)</f>
        <v>19.36</v>
      </c>
      <c r="AK21" s="3">
        <f>Avoine!E22</f>
        <v>31.06</v>
      </c>
      <c r="AL21" s="3">
        <f>IF(Avoine!G22="",'Intermédiaire_Prod-Résultats'!AK21,Avoine!G22)</f>
        <v>31.06</v>
      </c>
      <c r="AN21" s="3">
        <f>'Blé_d''automne'!E22</f>
        <v>47.6</v>
      </c>
      <c r="AO21" s="3">
        <f>IF('Blé_d''automne'!G22="",'Intermédiaire_Prod-Résultats'!AN21,'Blé_d''automne'!G22)</f>
        <v>47.6</v>
      </c>
      <c r="AQ21" s="3">
        <f>Blé_printemps!E22</f>
        <v>47.6</v>
      </c>
      <c r="AR21" s="3">
        <f>IF(Blé_printemps!G22="",'Intermédiaire_Prod-Résultats'!AQ21,Blé_printemps!G22)</f>
        <v>47.6</v>
      </c>
      <c r="AT21" s="3">
        <f>Seigle!E22</f>
        <v>0</v>
      </c>
      <c r="AU21" s="3">
        <f>IF(Seigle!G22="",'Intermédiaire_Prod-Résultats'!AT21,Seigle!G22)</f>
        <v>0</v>
      </c>
      <c r="AW21" s="3">
        <f>Seigle_hybride!E22</f>
        <v>0</v>
      </c>
      <c r="AX21" s="3">
        <f>IF(Seigle_hybride!G22="",'Intermédiaire_Prod-Résultats'!AW21,Seigle_hybride!G22)</f>
        <v>0</v>
      </c>
      <c r="AY21" s="51"/>
      <c r="AZ21" s="41">
        <f>'Maïs-grain'!E22</f>
        <v>79.930000000000007</v>
      </c>
      <c r="BA21" s="3">
        <f>IF('Maïs-grain'!G22="",'Intermédiaire_Prod-Résultats'!AZ21,'Maïs-grain'!G22)</f>
        <v>79.930000000000007</v>
      </c>
      <c r="BC21" s="3">
        <f>Soya!E22</f>
        <v>39.549999999999997</v>
      </c>
      <c r="BD21" s="3">
        <f>IF(Soya!G22="",'Intermédiaire_Prod-Résultats'!BC21,Soya!G22)</f>
        <v>39.549999999999997</v>
      </c>
      <c r="BF21" s="3">
        <f>Orge!E22</f>
        <v>19.36</v>
      </c>
      <c r="BG21" s="3">
        <f>IF(Orge!G22="",'Intermédiaire_Prod-Résultats'!BF21,Orge!G22)</f>
        <v>19.36</v>
      </c>
      <c r="BI21" s="3">
        <f>Avoine!E22</f>
        <v>31.06</v>
      </c>
      <c r="BJ21" s="3">
        <f>IF(Avoine!G22="",'Intermédiaire_Prod-Résultats'!BI21,Avoine!G22)</f>
        <v>31.06</v>
      </c>
      <c r="BL21" s="3">
        <f>'Blé_d''automne'!E22</f>
        <v>47.6</v>
      </c>
      <c r="BM21" s="3">
        <f>IF('Blé_d''automne'!G22="",'Intermédiaire_Prod-Résultats'!BL21,'Blé_d''automne'!G22)</f>
        <v>47.6</v>
      </c>
      <c r="BO21" s="3">
        <f>Blé_printemps!E22</f>
        <v>47.6</v>
      </c>
      <c r="BP21" s="3">
        <f>IF(Blé_printemps!G22="",'Intermédiaire_Prod-Résultats'!BO21,Blé_printemps!G22)</f>
        <v>47.6</v>
      </c>
      <c r="BR21" s="3">
        <f>Seigle!E22</f>
        <v>0</v>
      </c>
      <c r="BS21" s="3">
        <f>IF(Seigle!G22="",'Intermédiaire_Prod-Résultats'!BR21,Seigle!G22)</f>
        <v>0</v>
      </c>
      <c r="BU21" s="3">
        <f>Seigle_hybride!E22</f>
        <v>0</v>
      </c>
      <c r="BV21" s="3">
        <f>IF(Seigle_hybride!G22="",'Intermédiaire_Prod-Résultats'!BU21,Seigle_hybride!G22)</f>
        <v>0</v>
      </c>
    </row>
    <row r="22" spans="1:74" x14ac:dyDescent="0.25">
      <c r="A22" t="s">
        <v>21</v>
      </c>
      <c r="D22" s="3">
        <f>'Maïs-grain'!E23</f>
        <v>94.32</v>
      </c>
      <c r="E22" s="3">
        <f>IF('Maïs-grain'!G23="",'Intermédiaire_Prod-Résultats'!D22,'Maïs-grain'!G23)</f>
        <v>94.32</v>
      </c>
      <c r="G22" s="3">
        <f>Soya!E23</f>
        <v>74.709999999999994</v>
      </c>
      <c r="H22" s="3">
        <f>IF(Soya!G23="",'Intermédiaire_Prod-Résultats'!G22,Soya!G23)</f>
        <v>74.709999999999994</v>
      </c>
      <c r="J22" s="3">
        <f>Orge!E23</f>
        <v>120.36</v>
      </c>
      <c r="K22" s="3">
        <f>IF(Orge!G23="",'Intermédiaire_Prod-Résultats'!J22,Orge!G23)</f>
        <v>120.36</v>
      </c>
      <c r="M22" s="3">
        <f>Avoine!E23</f>
        <v>90.63</v>
      </c>
      <c r="N22" s="3">
        <f>IF(Avoine!G23="",'Intermédiaire_Prod-Résultats'!M22,Avoine!G23)</f>
        <v>90.63</v>
      </c>
      <c r="P22" s="3">
        <f>'Blé_d''automne'!E23</f>
        <v>44.56</v>
      </c>
      <c r="Q22" s="3">
        <f>IF('Blé_d''automne'!G23="",'Intermédiaire_Prod-Résultats'!P22,'Blé_d''automne'!G23)</f>
        <v>44.56</v>
      </c>
      <c r="S22" s="3">
        <f>Blé_printemps!E23</f>
        <v>44.56</v>
      </c>
      <c r="T22" s="3">
        <f>IF(Blé_printemps!G23="",'Intermédiaire_Prod-Résultats'!S22,Blé_printemps!G23)</f>
        <v>44.56</v>
      </c>
      <c r="V22" s="3">
        <f>Seigle!E23</f>
        <v>0</v>
      </c>
      <c r="W22" s="3">
        <f>IF(Seigle!G23="",'Intermédiaire_Prod-Résultats'!V22,Seigle!G23)</f>
        <v>0</v>
      </c>
      <c r="Y22" s="3">
        <f>Seigle_hybride!E23</f>
        <v>0</v>
      </c>
      <c r="Z22" s="3">
        <f>IF(Seigle_hybride!G23="",'Intermédiaire_Prod-Résultats'!Y22,Seigle_hybride!G23)</f>
        <v>0</v>
      </c>
      <c r="AA22" s="51"/>
      <c r="AB22" s="41">
        <f>'Maïs-grain'!E23</f>
        <v>94.32</v>
      </c>
      <c r="AC22" s="3">
        <f>IF('Maïs-grain'!G23="",'Intermédiaire_Prod-Résultats'!AB22,'Maïs-grain'!G23)</f>
        <v>94.32</v>
      </c>
      <c r="AE22" s="3">
        <f>Soya!E23</f>
        <v>74.709999999999994</v>
      </c>
      <c r="AF22" s="3">
        <f>IF(Soya!G23="",'Intermédiaire_Prod-Résultats'!AE22,Soya!G23)</f>
        <v>74.709999999999994</v>
      </c>
      <c r="AH22" s="3">
        <f>Orge!E23</f>
        <v>120.36</v>
      </c>
      <c r="AI22" s="3">
        <f>IF(Orge!G23="",'Intermédiaire_Prod-Résultats'!AH22,Orge!G23)</f>
        <v>120.36</v>
      </c>
      <c r="AK22" s="3">
        <f>Avoine!E23</f>
        <v>90.63</v>
      </c>
      <c r="AL22" s="3">
        <f>IF(Avoine!G23="",'Intermédiaire_Prod-Résultats'!AK22,Avoine!G23)</f>
        <v>90.63</v>
      </c>
      <c r="AN22" s="3">
        <f>'Blé_d''automne'!E23</f>
        <v>44.56</v>
      </c>
      <c r="AO22" s="3">
        <f>IF('Blé_d''automne'!G23="",'Intermédiaire_Prod-Résultats'!AN22,'Blé_d''automne'!G23)</f>
        <v>44.56</v>
      </c>
      <c r="AQ22" s="3">
        <f>Blé_printemps!E23</f>
        <v>44.56</v>
      </c>
      <c r="AR22" s="3">
        <f>IF(Blé_printemps!G23="",'Intermédiaire_Prod-Résultats'!AQ22,Blé_printemps!G23)</f>
        <v>44.56</v>
      </c>
      <c r="AT22" s="3">
        <f>Seigle!E23</f>
        <v>0</v>
      </c>
      <c r="AU22" s="3">
        <f>IF(Seigle!G23="",'Intermédiaire_Prod-Résultats'!AT22,Seigle!G23)</f>
        <v>0</v>
      </c>
      <c r="AW22" s="3">
        <f>Seigle_hybride!E23</f>
        <v>0</v>
      </c>
      <c r="AX22" s="3">
        <f>IF(Seigle_hybride!G23="",'Intermédiaire_Prod-Résultats'!AW22,Seigle_hybride!G23)</f>
        <v>0</v>
      </c>
      <c r="AY22" s="51"/>
      <c r="AZ22" s="41">
        <f>'Maïs-grain'!E23</f>
        <v>94.32</v>
      </c>
      <c r="BA22" s="3">
        <f>IF('Maïs-grain'!G23="",'Intermédiaire_Prod-Résultats'!AZ22,'Maïs-grain'!G23)</f>
        <v>94.32</v>
      </c>
      <c r="BC22" s="3">
        <f>Soya!E23</f>
        <v>74.709999999999994</v>
      </c>
      <c r="BD22" s="3">
        <f>IF(Soya!G23="",'Intermédiaire_Prod-Résultats'!BC22,Soya!G23)</f>
        <v>74.709999999999994</v>
      </c>
      <c r="BF22" s="3">
        <f>Orge!E23</f>
        <v>120.36</v>
      </c>
      <c r="BG22" s="3">
        <f>IF(Orge!G23="",'Intermédiaire_Prod-Résultats'!BF22,Orge!G23)</f>
        <v>120.36</v>
      </c>
      <c r="BI22" s="3">
        <f>Avoine!E23</f>
        <v>90.63</v>
      </c>
      <c r="BJ22" s="3">
        <f>IF(Avoine!G23="",'Intermédiaire_Prod-Résultats'!BI22,Avoine!G23)</f>
        <v>90.63</v>
      </c>
      <c r="BL22" s="3">
        <f>'Blé_d''automne'!E23</f>
        <v>44.56</v>
      </c>
      <c r="BM22" s="3">
        <f>IF('Blé_d''automne'!G23="",'Intermédiaire_Prod-Résultats'!BL22,'Blé_d''automne'!G23)</f>
        <v>44.56</v>
      </c>
      <c r="BO22" s="3">
        <f>Blé_printemps!E23</f>
        <v>44.56</v>
      </c>
      <c r="BP22" s="3">
        <f>IF(Blé_printemps!G23="",'Intermédiaire_Prod-Résultats'!BO22,Blé_printemps!G23)</f>
        <v>44.56</v>
      </c>
      <c r="BR22" s="3">
        <f>Seigle!E23</f>
        <v>0</v>
      </c>
      <c r="BS22" s="3">
        <f>IF(Seigle!G23="",'Intermédiaire_Prod-Résultats'!BR22,Seigle!G23)</f>
        <v>0</v>
      </c>
      <c r="BU22" s="3">
        <f>Seigle_hybride!E23</f>
        <v>0</v>
      </c>
      <c r="BV22" s="3">
        <f>IF(Seigle_hybride!G23="",'Intermédiaire_Prod-Résultats'!BU22,Seigle_hybride!G23)</f>
        <v>0</v>
      </c>
    </row>
    <row r="23" spans="1:74" x14ac:dyDescent="0.25">
      <c r="A23" t="s">
        <v>22</v>
      </c>
      <c r="D23" s="3">
        <f>'Maïs-grain'!E24</f>
        <v>119.87</v>
      </c>
      <c r="E23" s="3">
        <f>IF('Maïs-grain'!G24="",'Intermédiaire_Prod-Résultats'!D23,'Maïs-grain'!G24)</f>
        <v>119.87</v>
      </c>
      <c r="G23" s="3">
        <f>Soya!E24</f>
        <v>92.87</v>
      </c>
      <c r="H23" s="3">
        <f>IF(Soya!G24="",'Intermédiaire_Prod-Résultats'!G23,Soya!G24)</f>
        <v>92.87</v>
      </c>
      <c r="J23" s="3">
        <f>Orge!E24</f>
        <v>82.1</v>
      </c>
      <c r="K23" s="3">
        <f>IF(Orge!G24="",'Intermédiaire_Prod-Résultats'!J23,Orge!G24)</f>
        <v>82.1</v>
      </c>
      <c r="M23" s="3">
        <f>Avoine!E24</f>
        <v>99.24</v>
      </c>
      <c r="N23" s="3">
        <f>IF(Avoine!G24="",'Intermédiaire_Prod-Résultats'!M23,Avoine!G24)</f>
        <v>99.24</v>
      </c>
      <c r="P23" s="3">
        <f>'Blé_d''automne'!E24</f>
        <v>107.11</v>
      </c>
      <c r="Q23" s="3">
        <f>IF('Blé_d''automne'!G24="",'Intermédiaire_Prod-Résultats'!P23,'Blé_d''automne'!G24)</f>
        <v>107.11</v>
      </c>
      <c r="S23" s="3">
        <f>Blé_printemps!E24</f>
        <v>107.11</v>
      </c>
      <c r="T23" s="3">
        <f>IF(Blé_printemps!G24="",'Intermédiaire_Prod-Résultats'!S23,Blé_printemps!G24)</f>
        <v>107.11</v>
      </c>
      <c r="V23" s="3">
        <f>Seigle!E24</f>
        <v>97.79</v>
      </c>
      <c r="W23" s="3">
        <f>IF(Seigle!G24="",'Intermédiaire_Prod-Résultats'!V23,Seigle!G24)</f>
        <v>97.79</v>
      </c>
      <c r="Y23" s="3">
        <f>Seigle_hybride!E24</f>
        <v>113.14</v>
      </c>
      <c r="Z23" s="3">
        <f>IF(Seigle_hybride!G24="",'Intermédiaire_Prod-Résultats'!Y23,Seigle_hybride!G24)</f>
        <v>113.14</v>
      </c>
      <c r="AA23" s="51"/>
      <c r="AB23" s="41">
        <f>'Maïs-grain'!E24</f>
        <v>119.87</v>
      </c>
      <c r="AC23" s="3">
        <f>IF('Maïs-grain'!G24="",'Intermédiaire_Prod-Résultats'!AB23,'Maïs-grain'!G24)</f>
        <v>119.87</v>
      </c>
      <c r="AE23" s="3">
        <f>Soya!E24</f>
        <v>92.87</v>
      </c>
      <c r="AF23" s="3">
        <f>IF(Soya!G24="",'Intermédiaire_Prod-Résultats'!AE23,Soya!G24)</f>
        <v>92.87</v>
      </c>
      <c r="AH23" s="3">
        <f>Orge!E24</f>
        <v>82.1</v>
      </c>
      <c r="AI23" s="3">
        <f>IF(Orge!G24="",'Intermédiaire_Prod-Résultats'!AH23,Orge!G24)</f>
        <v>82.1</v>
      </c>
      <c r="AK23" s="3">
        <f>Avoine!E24</f>
        <v>99.24</v>
      </c>
      <c r="AL23" s="3">
        <f>IF(Avoine!G24="",'Intermédiaire_Prod-Résultats'!AK23,Avoine!G24)</f>
        <v>99.24</v>
      </c>
      <c r="AN23" s="3">
        <f>'Blé_d''automne'!E24</f>
        <v>107.11</v>
      </c>
      <c r="AO23" s="3">
        <f>IF('Blé_d''automne'!G24="",'Intermédiaire_Prod-Résultats'!AN23,'Blé_d''automne'!G24)</f>
        <v>107.11</v>
      </c>
      <c r="AQ23" s="3">
        <f>Blé_printemps!E24</f>
        <v>107.11</v>
      </c>
      <c r="AR23" s="3">
        <f>IF(Blé_printemps!G24="",'Intermédiaire_Prod-Résultats'!AQ23,Blé_printemps!G24)</f>
        <v>107.11</v>
      </c>
      <c r="AT23" s="3">
        <f>Seigle!E24</f>
        <v>97.79</v>
      </c>
      <c r="AU23" s="3">
        <f>IF(Seigle!G24="",'Intermédiaire_Prod-Résultats'!AT23,Seigle!G24)</f>
        <v>97.79</v>
      </c>
      <c r="AW23" s="3">
        <f>Seigle_hybride!E24</f>
        <v>113.14</v>
      </c>
      <c r="AX23" s="3">
        <f>IF(Seigle_hybride!G24="",'Intermédiaire_Prod-Résultats'!AW23,Seigle_hybride!G24)</f>
        <v>113.14</v>
      </c>
      <c r="AY23" s="51"/>
      <c r="AZ23" s="41">
        <f>'Maïs-grain'!E24</f>
        <v>119.87</v>
      </c>
      <c r="BA23" s="3">
        <f>IF('Maïs-grain'!G24="",'Intermédiaire_Prod-Résultats'!AZ23,'Maïs-grain'!G24)</f>
        <v>119.87</v>
      </c>
      <c r="BC23" s="3">
        <f>Soya!E24</f>
        <v>92.87</v>
      </c>
      <c r="BD23" s="3">
        <f>IF(Soya!G24="",'Intermédiaire_Prod-Résultats'!BC23,Soya!G24)</f>
        <v>92.87</v>
      </c>
      <c r="BF23" s="3">
        <f>Orge!E24</f>
        <v>82.1</v>
      </c>
      <c r="BG23" s="3">
        <f>IF(Orge!G24="",'Intermédiaire_Prod-Résultats'!BF23,Orge!G24)</f>
        <v>82.1</v>
      </c>
      <c r="BI23" s="3">
        <f>Avoine!E24</f>
        <v>99.24</v>
      </c>
      <c r="BJ23" s="3">
        <f>IF(Avoine!G24="",'Intermédiaire_Prod-Résultats'!BI23,Avoine!G24)</f>
        <v>99.24</v>
      </c>
      <c r="BL23" s="3">
        <f>'Blé_d''automne'!E24</f>
        <v>107.11</v>
      </c>
      <c r="BM23" s="3">
        <f>IF('Blé_d''automne'!G24="",'Intermédiaire_Prod-Résultats'!BL23,'Blé_d''automne'!G24)</f>
        <v>107.11</v>
      </c>
      <c r="BO23" s="3">
        <f>Blé_printemps!E24</f>
        <v>107.11</v>
      </c>
      <c r="BP23" s="3">
        <f>IF(Blé_printemps!G24="",'Intermédiaire_Prod-Résultats'!BO23,Blé_printemps!G24)</f>
        <v>107.11</v>
      </c>
      <c r="BR23" s="3">
        <f>Seigle!E24</f>
        <v>97.79</v>
      </c>
      <c r="BS23" s="3">
        <f>IF(Seigle!G24="",'Intermédiaire_Prod-Résultats'!BR23,Seigle!G24)</f>
        <v>97.79</v>
      </c>
      <c r="BU23" s="3">
        <f>Seigle_hybride!E24</f>
        <v>113.14</v>
      </c>
      <c r="BV23" s="3">
        <f>IF(Seigle_hybride!G24="",'Intermédiaire_Prod-Résultats'!BU23,Seigle_hybride!G24)</f>
        <v>113.14</v>
      </c>
    </row>
    <row r="24" spans="1:74" x14ac:dyDescent="0.25">
      <c r="A24" t="s">
        <v>23</v>
      </c>
      <c r="D24" s="3">
        <f>'Maïs-grain'!E25</f>
        <v>92.68</v>
      </c>
      <c r="E24" s="3">
        <f>IF('Maïs-grain'!G25="",'Intermédiaire_Prod-Résultats'!D24,'Maïs-grain'!G25)</f>
        <v>92.68</v>
      </c>
      <c r="G24" s="3">
        <f>Soya!E25</f>
        <v>77.680000000000007</v>
      </c>
      <c r="H24" s="3">
        <f>IF(Soya!G25="",'Intermédiaire_Prod-Résultats'!G24,Soya!G25)</f>
        <v>77.680000000000007</v>
      </c>
      <c r="J24" s="3">
        <f>Orge!E25</f>
        <v>80.56</v>
      </c>
      <c r="K24" s="3">
        <f>IF(Orge!G25="",'Intermédiaire_Prod-Résultats'!J24,Orge!G25)</f>
        <v>80.56</v>
      </c>
      <c r="M24" s="3">
        <f>Avoine!E25</f>
        <v>74.069999999999993</v>
      </c>
      <c r="N24" s="3">
        <f>IF(Avoine!G25="",'Intermédiaire_Prod-Résultats'!M24,Avoine!G25)</f>
        <v>74.069999999999993</v>
      </c>
      <c r="P24" s="3">
        <f>'Blé_d''automne'!E25</f>
        <v>76.209999999999994</v>
      </c>
      <c r="Q24" s="3">
        <f>IF('Blé_d''automne'!G25="",'Intermédiaire_Prod-Résultats'!P24,'Blé_d''automne'!G25)</f>
        <v>76.209999999999994</v>
      </c>
      <c r="S24" s="3">
        <f>Blé_printemps!E25</f>
        <v>76.209999999999994</v>
      </c>
      <c r="T24" s="3">
        <f>IF(Blé_printemps!G25="",'Intermédiaire_Prod-Résultats'!S24,Blé_printemps!G25)</f>
        <v>76.209999999999994</v>
      </c>
      <c r="V24" s="3">
        <f>Seigle!E25</f>
        <v>0</v>
      </c>
      <c r="W24" s="3">
        <f>IF(Seigle!G25="",'Intermédiaire_Prod-Résultats'!V24,Seigle!G25)</f>
        <v>0</v>
      </c>
      <c r="Y24" s="3">
        <f>Seigle_hybride!E25</f>
        <v>0</v>
      </c>
      <c r="Z24" s="3">
        <f>IF(Seigle_hybride!G25="",'Intermédiaire_Prod-Résultats'!Y24,Seigle_hybride!G25)</f>
        <v>0</v>
      </c>
      <c r="AA24" s="51"/>
      <c r="AB24" s="41">
        <f>'Maïs-grain'!E25</f>
        <v>92.68</v>
      </c>
      <c r="AC24" s="3">
        <f>IF('Maïs-grain'!G25="",'Intermédiaire_Prod-Résultats'!AB24,'Maïs-grain'!G25)</f>
        <v>92.68</v>
      </c>
      <c r="AE24" s="3">
        <f>Soya!E25</f>
        <v>77.680000000000007</v>
      </c>
      <c r="AF24" s="3">
        <f>IF(Soya!G25="",'Intermédiaire_Prod-Résultats'!AE24,Soya!G25)</f>
        <v>77.680000000000007</v>
      </c>
      <c r="AH24" s="3">
        <f>Orge!E25</f>
        <v>80.56</v>
      </c>
      <c r="AI24" s="3">
        <f>IF(Orge!G25="",'Intermédiaire_Prod-Résultats'!AH24,Orge!G25)</f>
        <v>80.56</v>
      </c>
      <c r="AK24" s="3">
        <f>Avoine!E25</f>
        <v>74.069999999999993</v>
      </c>
      <c r="AL24" s="3">
        <f>IF(Avoine!G25="",'Intermédiaire_Prod-Résultats'!AK24,Avoine!G25)</f>
        <v>74.069999999999993</v>
      </c>
      <c r="AN24" s="3">
        <f>'Blé_d''automne'!E25</f>
        <v>76.209999999999994</v>
      </c>
      <c r="AO24" s="3">
        <f>IF('Blé_d''automne'!G25="",'Intermédiaire_Prod-Résultats'!AN24,'Blé_d''automne'!G25)</f>
        <v>76.209999999999994</v>
      </c>
      <c r="AQ24" s="3">
        <f>Blé_printemps!E25</f>
        <v>76.209999999999994</v>
      </c>
      <c r="AR24" s="3">
        <f>IF(Blé_printemps!G25="",'Intermédiaire_Prod-Résultats'!AQ24,Blé_printemps!G25)</f>
        <v>76.209999999999994</v>
      </c>
      <c r="AT24" s="3">
        <f>Seigle!E25</f>
        <v>0</v>
      </c>
      <c r="AU24" s="3">
        <f>IF(Seigle!G25="",'Intermédiaire_Prod-Résultats'!AT24,Seigle!G25)</f>
        <v>0</v>
      </c>
      <c r="AW24" s="3">
        <f>Seigle_hybride!E25</f>
        <v>0</v>
      </c>
      <c r="AX24" s="3">
        <f>IF(Seigle_hybride!G25="",'Intermédiaire_Prod-Résultats'!AW24,Seigle_hybride!G25)</f>
        <v>0</v>
      </c>
      <c r="AY24" s="51"/>
      <c r="AZ24" s="41">
        <f>'Maïs-grain'!E25</f>
        <v>92.68</v>
      </c>
      <c r="BA24" s="3">
        <f>IF('Maïs-grain'!G25="",'Intermédiaire_Prod-Résultats'!AZ24,'Maïs-grain'!G25)</f>
        <v>92.68</v>
      </c>
      <c r="BC24" s="3">
        <f>Soya!E25</f>
        <v>77.680000000000007</v>
      </c>
      <c r="BD24" s="3">
        <f>IF(Soya!G25="",'Intermédiaire_Prod-Résultats'!BC24,Soya!G25)</f>
        <v>77.680000000000007</v>
      </c>
      <c r="BF24" s="3">
        <f>Orge!E25</f>
        <v>80.56</v>
      </c>
      <c r="BG24" s="3">
        <f>IF(Orge!G25="",'Intermédiaire_Prod-Résultats'!BF24,Orge!G25)</f>
        <v>80.56</v>
      </c>
      <c r="BI24" s="3">
        <f>Avoine!E25</f>
        <v>74.069999999999993</v>
      </c>
      <c r="BJ24" s="3">
        <f>IF(Avoine!G25="",'Intermédiaire_Prod-Résultats'!BI24,Avoine!G25)</f>
        <v>74.069999999999993</v>
      </c>
      <c r="BL24" s="3">
        <f>'Blé_d''automne'!E25</f>
        <v>76.209999999999994</v>
      </c>
      <c r="BM24" s="3">
        <f>IF('Blé_d''automne'!G25="",'Intermédiaire_Prod-Résultats'!BL24,'Blé_d''automne'!G25)</f>
        <v>76.209999999999994</v>
      </c>
      <c r="BO24" s="3">
        <f>Blé_printemps!E25</f>
        <v>76.209999999999994</v>
      </c>
      <c r="BP24" s="3">
        <f>IF(Blé_printemps!G25="",'Intermédiaire_Prod-Résultats'!BO24,Blé_printemps!G25)</f>
        <v>76.209999999999994</v>
      </c>
      <c r="BR24" s="3">
        <f>Seigle!E25</f>
        <v>0</v>
      </c>
      <c r="BS24" s="3">
        <f>IF(Seigle!G25="",'Intermédiaire_Prod-Résultats'!BR24,Seigle!G25)</f>
        <v>0</v>
      </c>
      <c r="BU24" s="3">
        <f>Seigle_hybride!E25</f>
        <v>0</v>
      </c>
      <c r="BV24" s="3">
        <f>IF(Seigle_hybride!G25="",'Intermédiaire_Prod-Résultats'!BU24,Seigle_hybride!G25)</f>
        <v>0</v>
      </c>
    </row>
    <row r="25" spans="1:74" x14ac:dyDescent="0.25">
      <c r="A25" t="s">
        <v>24</v>
      </c>
      <c r="D25" s="3">
        <f>('Maïs-grain'!D26*Saisies!B8)*(1+Saisies!B39*Saisies!B59)</f>
        <v>240.09</v>
      </c>
      <c r="E25" s="3">
        <f>IF('Maïs-grain'!G26="",IF(Saisies!C8="",'Intermédiaire_Prod-Résultats'!D25,'Maïs-grain'!D26*Saisies!C8),'Maïs-grain'!G26)*(1+IF(Saisies!C39="",Saisies!B39,Saisies!C39)*IF(Saisies!C59="",Saisies!B59,Saisies!C59))</f>
        <v>240.09</v>
      </c>
      <c r="G25" s="3">
        <f>(Soya!D26*Saisies!B9)*(1+Saisies!B40*Saisies!B59)</f>
        <v>0.2</v>
      </c>
      <c r="H25" s="3">
        <f>IF(Soya!$G26="",IF(Saisies!$C$9="",'Intermédiaire_Prod-Résultats'!G25,Soya!$D26*Saisies!$C$9),Soya!$G26)*(1+IF(Saisies!C40="",Saisies!B40,Saisies!C40)*IF(Saisies!C59="",Saisies!B59,Saisies!C59))</f>
        <v>0.2</v>
      </c>
      <c r="J25" s="3">
        <f>(Orge!D26*Saisies!B10)*(1+Saisies!B41*Saisies!B59)</f>
        <v>50.78</v>
      </c>
      <c r="K25" s="3">
        <f>IF(Orge!$G26="",IF(Saisies!$C$10="",'Intermédiaire_Prod-Résultats'!J25,Orge!$D26*Saisies!$C$10),Orge!$G26)*(1+IF(Saisies!C41="",Saisies!B41,Saisies!C41)*IF(Saisies!C59="",Saisies!B59,Saisies!C59))</f>
        <v>50.78</v>
      </c>
      <c r="M25" s="3">
        <f>(Avoine!D26*Saisies!B11)*(1+Saisies!B42*Saisies!B59)</f>
        <v>22.21</v>
      </c>
      <c r="N25" s="3">
        <f>IF(Avoine!$G26="",IF(Saisies!$C$11="",'Intermédiaire_Prod-Résultats'!M25,Avoine!$D26*Saisies!$C$11),Avoine!$G26)*(1+IF(Saisies!C42="",Saisies!B42,Saisies!C42)*IF(Saisies!C59="",Saisies!B59,Saisies!C59))</f>
        <v>22.21</v>
      </c>
      <c r="P25" s="3">
        <f>('Blé_d''automne'!D26*Saisies!B13)*(1+Saisies!B44*Saisies!B59)</f>
        <v>42.85</v>
      </c>
      <c r="Q25" s="3">
        <f>IF('Blé_d''automne'!G26="",IF(Saisies!C13="",'Intermédiaire_Prod-Résultats'!P25,'Blé_d''automne'!D26*Saisies!C13),'Blé_d''automne'!G26)*(1+IF(Saisies!C44="",Saisies!B44,Saisies!C44)*IF(Saisies!C59="",Saisies!B59,Saisies!C59))</f>
        <v>42.85</v>
      </c>
      <c r="S25" s="3">
        <f>(Blé_printemps!D26*Saisies!B12)*(1+Saisies!B43*Saisies!B59)</f>
        <v>42.85</v>
      </c>
      <c r="T25" s="3">
        <f>IF(Blé_printemps!G26="",IF(Saisies!C12="",'Intermédiaire_Prod-Résultats'!S25,Blé_printemps!D26*Saisies!C12),Blé_printemps!G26)*(1+IF(Saisies!C43="",Saisies!B43,Saisies!C43)*IF(Saisies!C59="",Saisies!B59,Saisies!C59))</f>
        <v>42.85</v>
      </c>
      <c r="V25" s="3">
        <f>(Seigle!D26*Saisies!B14)*(1+Saisies!B45*Saisies!B59)</f>
        <v>0</v>
      </c>
      <c r="W25" s="3">
        <f>IF(Seigle!G26="",IF(Saisies!C14="",'Intermédiaire_Prod-Résultats'!V25,Seigle!D26*Saisies!C14),Seigle!G26)*(1+IF(Saisies!C45="",Saisies!B45,Saisies!C45)*IF(Saisies!C59="",Saisies!B59,Saisies!C59))</f>
        <v>0</v>
      </c>
      <c r="Y25" s="3">
        <f>(Seigle_hybride!D26*Saisies!B15)*(1+Saisies!B46*Saisies!B59)</f>
        <v>0</v>
      </c>
      <c r="Z25" s="3">
        <f>IF(Seigle_hybride!G26="",IF(Saisies!C15="",'Intermédiaire_Prod-Résultats'!Y25,Seigle_hybride!D26*Saisies!C15),Seigle_hybride!G26)*(1+IF(Saisies!C46="",Saisies!B46,Saisies!C46)*IF(Saisies!C59="",Saisies!B59,Saisies!C59))</f>
        <v>0</v>
      </c>
      <c r="AA25" s="51"/>
      <c r="AB25" s="41">
        <f>('Maïs-grain'!D26*Saisies!B8)*(1+Saisies!B39*Saisies!B60)</f>
        <v>254.49540000000002</v>
      </c>
      <c r="AC25" s="3">
        <f>IF('Maïs-grain'!G26="",'Maïs-grain'!D26*IF(Saisies!C8="",Saisies!B8,Saisies!C8),'Maïs-grain'!G26)*(1+IF(Saisies!C39="",Saisies!B39,Saisies!C39)*IF(Saisies!C60="",Saisies!B60,Saisies!C60))</f>
        <v>254.49540000000002</v>
      </c>
      <c r="AE25" s="3">
        <f>(Soya!D26*Saisies!B9)*(1+Saisies!B40*Saisies!B60)</f>
        <v>0.21000000000000002</v>
      </c>
      <c r="AF25" s="3">
        <f>IF(Soya!G26="",Soya!D26*IF(Saisies!C9="",Saisies!B9,Saisies!C9),Soya!G26)*(1+IF(Saisies!C40="",Saisies!B40,Saisies!C40)*IF(Saisies!C60="",Saisies!B60,Saisies!C60))</f>
        <v>0.21000000000000002</v>
      </c>
      <c r="AH25" s="3">
        <f>(Orge!D26*Saisies!B10)*(1+Saisies!B41*Saisies!B60)</f>
        <v>53.572899999999997</v>
      </c>
      <c r="AI25" s="3">
        <f>IF(Orge!G26="",Orge!D26*IF(Saisies!C10="",Saisies!B10,Saisies!C10),Orge!G26)*(1+IF(Saisies!C41="",Saisies!B41,Saisies!C41)*IF(Saisies!C60="",Saisies!B60,Saisies!C60))</f>
        <v>53.572899999999997</v>
      </c>
      <c r="AK25" s="3">
        <f>(Avoine!D26*Saisies!B11)*(1+Saisies!B42*Saisies!B60)</f>
        <v>23.431549999999998</v>
      </c>
      <c r="AL25" s="3">
        <f>IF(Avoine!G26="",Avoine!D26*IF(Saisies!C11="",Saisies!B11,Saisies!C11),Avoine!G26)*(1+IF(Saisies!C42="",Saisies!B42,Saisies!C42)*IF(Saisies!C60="",Saisies!B60,Saisies!C60))</f>
        <v>23.431549999999998</v>
      </c>
      <c r="AN25" s="3">
        <f>('Blé_d''automne'!D26*Saisies!B13)*(1+Saisies!B44*Saisies!B60)</f>
        <v>45.20675</v>
      </c>
      <c r="AO25" s="3">
        <f>IF('Blé_d''automne'!G26="",'Blé_d''automne'!D26*IF(Saisies!C13="",Saisies!B13,Saisies!C13),'Blé_d''automne'!G26)*(1+IF(Saisies!C44="",Saisies!B44,Saisies!C44)*IF(Saisies!C60="",Saisies!B60,Saisies!C60))</f>
        <v>45.20675</v>
      </c>
      <c r="AQ25" s="3">
        <f>(Blé_printemps!D26*Saisies!B12)*(1+Saisies!B43*Saisies!B60)</f>
        <v>45.20675</v>
      </c>
      <c r="AR25" s="3">
        <f>IF(Blé_printemps!G26="",Blé_printemps!D26*IF(Saisies!C12="",Saisies!B12,Saisies!C12),Blé_printemps!G26)*(1+IF(Saisies!C43="",Saisies!B43,Saisies!C43)*IF(Saisies!C60="",Saisies!B60,Saisies!C60))</f>
        <v>45.20675</v>
      </c>
      <c r="AT25" s="3">
        <f>(Seigle!D26*Saisies!B14)*(1+Saisies!B45*Saisies!B60)</f>
        <v>0</v>
      </c>
      <c r="AU25" s="3">
        <f>IF(Seigle!G26="",Seigle!D26*IF(Saisies!C14="",Saisies!B14,Saisies!C14),Seigle!G26)*(1+IF(Saisies!C45="",Saisies!B45,Saisies!C45)*IF(Saisies!C60="",Saisies!B60,Saisies!C60))</f>
        <v>0</v>
      </c>
      <c r="AW25" s="3">
        <f>(Seigle_hybride!D26*Saisies!B15)*(1+Saisies!B46*Saisies!B60)</f>
        <v>0</v>
      </c>
      <c r="AX25" s="3">
        <f>IF(Seigle_hybride!G26="",Seigle_hybride!D26*IF(Saisies!C15="",Saisies!B15,Saisies!C15),Seigle_hybride!G26)*(1+IF(Saisies!C46="",Saisies!B46,Saisies!C46)*IF(Saisies!C60="",Saisies!B60,Saisies!C60))</f>
        <v>0</v>
      </c>
      <c r="AY25" s="51"/>
      <c r="AZ25" s="41">
        <f>('Maïs-grain'!D26*Saisies!B8)*(1+Saisies!B39*Saisies!B61)</f>
        <v>268.9008</v>
      </c>
      <c r="BA25" s="3">
        <f>IF('Maïs-grain'!G26="",'Maïs-grain'!D26*IF(Saisies!C8="",Saisies!B8,Saisies!C8),'Maïs-grain'!G26)*(1+IF(Saisies!C39="",Saisies!B39,Saisies!C39)*IF(Saisies!C61="",Saisies!B61,Saisies!C61))</f>
        <v>268.9008</v>
      </c>
      <c r="BC25" s="3">
        <f>(Soya!D26*Saisies!B9)*(1+Saisies!B40*Saisies!B61)</f>
        <v>0.22000000000000003</v>
      </c>
      <c r="BD25" s="3">
        <f>IF(Soya!G26="",Soya!D26*IF(Saisies!C9="",Saisies!B9,Saisies!C9),Soya!G26)*(1+IF(Saisies!C40="",Saisies!B40,Saisies!C40)*IF(Saisies!C61="",Saisies!B61,Saisies!C61))</f>
        <v>0.22000000000000003</v>
      </c>
      <c r="BF25" s="3">
        <f>(Orge!D26*Saisies!B10)*(1+Saisies!B41*Saisies!B61)</f>
        <v>56.365800000000007</v>
      </c>
      <c r="BG25" s="3">
        <f>IF(Orge!G26="",Orge!D26*IF(Saisies!C10="",Saisies!B10,Saisies!C10),Orge!G26)*(1+IF(Saisies!C41="",Saisies!B41,Saisies!C41)*IF(Saisies!C61="",Saisies!B61,Saisies!C61))</f>
        <v>56.365800000000007</v>
      </c>
      <c r="BI25" s="3">
        <f>(Avoine!D26*Saisies!B11)*(1+Saisies!B42*Saisies!B61)</f>
        <v>24.653100000000002</v>
      </c>
      <c r="BJ25" s="3">
        <f>IF(Avoine!G26="",Avoine!D26*IF(Saisies!C11="",Saisies!B11,Saisies!C11),Avoine!G26)*(1+IF(Saisies!C42="",Saisies!B42,Saisies!C42)*IF(Saisies!C61="",Saisies!B61,Saisies!C61))</f>
        <v>24.653100000000002</v>
      </c>
      <c r="BL25" s="3">
        <f>('Blé_d''automne'!D26*Saisies!B13)*(1+Saisies!B44*Saisies!B61)</f>
        <v>47.563500000000005</v>
      </c>
      <c r="BM25" s="3">
        <f>IF('Blé_d''automne'!G26="",'Blé_d''automne'!D26*IF(Saisies!C13="",Saisies!B13,Saisies!C13),'Blé_d''automne'!G26)*(1+IF(Saisies!C44="",Saisies!B44,Saisies!C44)*IF(Saisies!C61="",Saisies!B61,Saisies!C61))</f>
        <v>47.563500000000005</v>
      </c>
      <c r="BO25" s="3">
        <f>(Blé_printemps!D26*Saisies!B12)*(1+Saisies!B43*Saisies!B61)</f>
        <v>47.563500000000005</v>
      </c>
      <c r="BP25" s="3">
        <f>IF(Blé_printemps!G26="",Blé_printemps!D26*IF(Saisies!C12="",Saisies!B12,Saisies!C12),Blé_printemps!G26)*(1+IF(Saisies!C43="",Saisies!B43,Saisies!C43)*IF(Saisies!C61="",Saisies!B61,Saisies!C61))</f>
        <v>47.563500000000005</v>
      </c>
      <c r="BR25" s="3">
        <f>(Seigle!D26*Saisies!B14)*(1+Saisies!B45*Saisies!B61)</f>
        <v>0</v>
      </c>
      <c r="BS25" s="3">
        <f>IF(Seigle!G26="",Seigle!D26*IF(Saisies!C14="",Saisies!B14,Saisies!C14),Seigle!G26)*(1+IF(Saisies!C45="",Saisies!B45,Saisies!C45)*IF(Saisies!C61="",Saisies!B61,Saisies!C61))</f>
        <v>0</v>
      </c>
      <c r="BU25" s="3">
        <f>(Seigle_hybride!D26*Saisies!B15)*(1+Saisies!B46*Saisies!B61)</f>
        <v>0</v>
      </c>
      <c r="BV25" s="3">
        <f>IF(Seigle_hybride!G26="",Seigle_hybride!D26*IF(Saisies!C15="",Saisies!B15,Saisies!C15),Seigle_hybride!G26)*(1+IF(Saisies!C46="",Saisies!B46,Saisies!C46)*IF(Saisies!C61="",Saisies!B61,Saisies!C61))</f>
        <v>0</v>
      </c>
    </row>
    <row r="26" spans="1:74" x14ac:dyDescent="0.25">
      <c r="A26" t="s">
        <v>25</v>
      </c>
      <c r="D26" s="3">
        <f>'Maïs-grain'!E28</f>
        <v>9.36</v>
      </c>
      <c r="E26" s="3">
        <f>IF('Maïs-grain'!G28="",'Intermédiaire_Prod-Résultats'!D26,'Maïs-grain'!G28)</f>
        <v>9.36</v>
      </c>
      <c r="G26" s="3">
        <f>Soya!E28</f>
        <v>5.13</v>
      </c>
      <c r="H26" s="3">
        <f>IF(Soya!G28="",'Intermédiaire_Prod-Résultats'!G26,Soya!G28)</f>
        <v>5.13</v>
      </c>
      <c r="J26" s="3">
        <f>Orge!E28</f>
        <v>2.99</v>
      </c>
      <c r="K26" s="3">
        <f>IF(Orge!G28="",'Intermédiaire_Prod-Résultats'!J26,Orge!G28)</f>
        <v>2.99</v>
      </c>
      <c r="M26" s="3">
        <f>Avoine!E28</f>
        <v>6.82</v>
      </c>
      <c r="N26" s="3">
        <f>IF(Avoine!G28="",'Intermédiaire_Prod-Résultats'!M26,Avoine!G28)</f>
        <v>6.82</v>
      </c>
      <c r="P26" s="3">
        <f>'Blé_d''automne'!E28</f>
        <v>3.73</v>
      </c>
      <c r="Q26" s="3">
        <f>IF('Blé_d''automne'!G28="",'Intermédiaire_Prod-Résultats'!P26,'Blé_d''automne'!G28)</f>
        <v>3.73</v>
      </c>
      <c r="S26" s="3">
        <f>Blé_printemps!E28</f>
        <v>3.73</v>
      </c>
      <c r="T26" s="3">
        <f>IF(Blé_printemps!G28="",'Intermédiaire_Prod-Résultats'!S26,Blé_printemps!G28)</f>
        <v>3.73</v>
      </c>
      <c r="V26" s="3">
        <f>Seigle!E28</f>
        <v>31.1</v>
      </c>
      <c r="W26" s="3">
        <f>IF(Seigle!G28="",'Intermédiaire_Prod-Résultats'!V26,Seigle!G28)</f>
        <v>31.1</v>
      </c>
      <c r="Y26" s="3">
        <f>Seigle_hybride!E28</f>
        <v>31.1</v>
      </c>
      <c r="Z26" s="3">
        <f>IF(Seigle_hybride!G28="",'Intermédiaire_Prod-Résultats'!Y26,Seigle_hybride!G28)</f>
        <v>31.1</v>
      </c>
      <c r="AA26" s="51"/>
      <c r="AB26" s="41">
        <f>'Maïs-grain'!E28</f>
        <v>9.36</v>
      </c>
      <c r="AC26" s="3">
        <f>IF('Maïs-grain'!G28="",'Intermédiaire_Prod-Résultats'!AB26,'Maïs-grain'!G28)</f>
        <v>9.36</v>
      </c>
      <c r="AE26" s="3">
        <f>Soya!E28</f>
        <v>5.13</v>
      </c>
      <c r="AF26" s="3">
        <f>IF(Soya!G28="",'Intermédiaire_Prod-Résultats'!AE26,Soya!G28)</f>
        <v>5.13</v>
      </c>
      <c r="AH26" s="3">
        <f>Orge!E28</f>
        <v>2.99</v>
      </c>
      <c r="AI26" s="3">
        <f>IF(Orge!G28="",'Intermédiaire_Prod-Résultats'!AH26,Orge!G28)</f>
        <v>2.99</v>
      </c>
      <c r="AK26" s="3">
        <f>Avoine!E28</f>
        <v>6.82</v>
      </c>
      <c r="AL26" s="3">
        <f>IF(Avoine!G28="",'Intermédiaire_Prod-Résultats'!AK26,Avoine!G28)</f>
        <v>6.82</v>
      </c>
      <c r="AN26" s="3">
        <f>'Blé_d''automne'!E28</f>
        <v>3.73</v>
      </c>
      <c r="AO26" s="3">
        <f>IF('Blé_d''automne'!G28="",'Intermédiaire_Prod-Résultats'!AN26,'Blé_d''automne'!G28)</f>
        <v>3.73</v>
      </c>
      <c r="AQ26" s="3">
        <f>Blé_printemps!E28</f>
        <v>3.73</v>
      </c>
      <c r="AR26" s="3">
        <f>IF(Blé_printemps!G28="",'Intermédiaire_Prod-Résultats'!AQ26,Blé_printemps!G28)</f>
        <v>3.73</v>
      </c>
      <c r="AT26" s="3">
        <f>Seigle!E28</f>
        <v>31.1</v>
      </c>
      <c r="AU26" s="3">
        <f>IF(Seigle!G28="",'Intermédiaire_Prod-Résultats'!AT26,Seigle!G28)</f>
        <v>31.1</v>
      </c>
      <c r="AW26" s="3">
        <f>Seigle_hybride!E28</f>
        <v>31.1</v>
      </c>
      <c r="AX26" s="3">
        <f>IF(Seigle_hybride!G28="",'Intermédiaire_Prod-Résultats'!AW26,Seigle_hybride!G28)</f>
        <v>31.1</v>
      </c>
      <c r="AY26" s="51"/>
      <c r="AZ26" s="41">
        <f>'Maïs-grain'!E28</f>
        <v>9.36</v>
      </c>
      <c r="BA26" s="3">
        <f>IF('Maïs-grain'!G28="",'Intermédiaire_Prod-Résultats'!AZ26,'Maïs-grain'!G28)</f>
        <v>9.36</v>
      </c>
      <c r="BC26" s="3">
        <f>Soya!E28</f>
        <v>5.13</v>
      </c>
      <c r="BD26" s="3">
        <f>IF(Soya!G28="",'Intermédiaire_Prod-Résultats'!BC26,Soya!G28)</f>
        <v>5.13</v>
      </c>
      <c r="BF26" s="3">
        <f>Orge!E28</f>
        <v>2.99</v>
      </c>
      <c r="BG26" s="3">
        <f>IF(Orge!G28="",'Intermédiaire_Prod-Résultats'!BF26,Orge!G28)</f>
        <v>2.99</v>
      </c>
      <c r="BI26" s="3">
        <f>Avoine!E28</f>
        <v>6.82</v>
      </c>
      <c r="BJ26" s="3">
        <f>IF(Avoine!G28="",'Intermédiaire_Prod-Résultats'!BI26,Avoine!G28)</f>
        <v>6.82</v>
      </c>
      <c r="BL26" s="3">
        <f>'Blé_d''automne'!E28</f>
        <v>3.73</v>
      </c>
      <c r="BM26" s="3">
        <f>IF('Blé_d''automne'!G28="",'Intermédiaire_Prod-Résultats'!BL26,'Blé_d''automne'!G28)</f>
        <v>3.73</v>
      </c>
      <c r="BO26" s="3">
        <f>Blé_printemps!E28</f>
        <v>3.73</v>
      </c>
      <c r="BP26" s="3">
        <f>IF(Blé_printemps!G28="",'Intermédiaire_Prod-Résultats'!BO26,Blé_printemps!G28)</f>
        <v>3.73</v>
      </c>
      <c r="BR26" s="3">
        <f>Seigle!E28</f>
        <v>31.1</v>
      </c>
      <c r="BS26" s="3">
        <f>IF(Seigle!G28="",'Intermédiaire_Prod-Résultats'!BR26,Seigle!G28)</f>
        <v>31.1</v>
      </c>
      <c r="BU26" s="3">
        <f>Seigle_hybride!E28</f>
        <v>31.1</v>
      </c>
      <c r="BV26" s="3">
        <f>IF(Seigle_hybride!G28="",'Intermédiaire_Prod-Résultats'!BU26,Seigle_hybride!G28)</f>
        <v>31.1</v>
      </c>
    </row>
    <row r="27" spans="1:74" x14ac:dyDescent="0.25">
      <c r="A27" t="s">
        <v>26</v>
      </c>
      <c r="D27" s="3">
        <f>('Maïs-grain'!D29*Saisies!B8)*(1+Saisies!B39*Saisies!B59)</f>
        <v>19.61</v>
      </c>
      <c r="E27" s="3">
        <f>IF('Maïs-grain'!G29="",IF(Saisies!C8="",'Intermédiaire_Prod-Résultats'!D27,'Maïs-grain'!D29*Saisies!C8),'Maïs-grain'!G29)*(1+IF(Saisies!C39="",Saisies!B39,Saisies!C39)*IF(Saisies!C59="",Saisies!B59,Saisies!C59))</f>
        <v>19.61</v>
      </c>
      <c r="G27" s="3">
        <f>(Soya!D29*Saisies!B9)*(1+Saisies!B40*Saisies!B59)</f>
        <v>14.1</v>
      </c>
      <c r="H27" s="3">
        <f>IF(Soya!$G29="",IF(Saisies!$C$9="",'Intermédiaire_Prod-Résultats'!G27,Soya!$D29*Saisies!$C$9),Soya!$G29)*(1+IF(Saisies!C40="",Saisies!B40,Saisies!C40)*IF(Saisies!C59="",Saisies!B59,Saisies!C59))</f>
        <v>14.1</v>
      </c>
      <c r="J27" s="3">
        <f>(Orge!D29*Saisies!B10)*(1+Saisies!B41*Saisies!B59)</f>
        <v>58.6</v>
      </c>
      <c r="K27" s="3">
        <f>IF(Orge!$G29="",IF(Saisies!$C$10="",'Intermédiaire_Prod-Résultats'!J27,Orge!$D29*Saisies!$C$10),Orge!$G29)*(1+IF(Saisies!C41="",Saisies!B41,Saisies!C41)*IF(Saisies!C59="",Saisies!B59,Saisies!C59))</f>
        <v>58.6</v>
      </c>
      <c r="M27" s="3">
        <f>(Avoine!D29*Saisies!B11)*(1+Saisies!B42*Saisies!B59)</f>
        <v>30.28</v>
      </c>
      <c r="N27" s="3">
        <f>IF(Avoine!$G29="",IF(Saisies!$C$11="",'Intermédiaire_Prod-Résultats'!M27,Avoine!$D29*Saisies!$C$11),Avoine!$G29)*(1+IF(Saisies!C42="",Saisies!B42,Saisies!C42)*IF(Saisies!C59="",Saisies!B59,Saisies!C59))</f>
        <v>30.28</v>
      </c>
      <c r="P27" s="3">
        <f>('Blé_d''automne'!D29*Saisies!B13)*(1+Saisies!B44*Saisies!B59)</f>
        <v>51.96</v>
      </c>
      <c r="Q27" s="3">
        <f>IF('Blé_d''automne'!G29="",IF(Saisies!C13="",'Intermédiaire_Prod-Résultats'!P27,'Blé_d''automne'!D29*Saisies!C13),'Blé_d''automne'!G29)*(1+IF(Saisies!C44="",Saisies!B44,Saisies!C44)*IF(Saisies!C59="",Saisies!B59,Saisies!C59))</f>
        <v>51.96</v>
      </c>
      <c r="S27" s="3">
        <f>(Blé_printemps!D29*Saisies!B12)*(1+Saisies!B43*Saisies!B59)</f>
        <v>51.96</v>
      </c>
      <c r="T27" s="3">
        <f>IF(Blé_printemps!G29="",IF(Saisies!C12="",'Intermédiaire_Prod-Résultats'!S27,Blé_printemps!D29*Saisies!C12),Blé_printemps!G29)*(1+IF(Saisies!C43="",Saisies!B43,Saisies!C43)*IF(Saisies!C59="",Saisies!B59,Saisies!C59))</f>
        <v>51.96</v>
      </c>
      <c r="V27" s="3">
        <f>(Seigle!D29*Saisies!B14)*(1+Saisies!B45*Saisies!B59)</f>
        <v>18.2</v>
      </c>
      <c r="W27" s="3">
        <f>IF(Seigle!G29="",IF(Saisies!C14="",'Intermédiaire_Prod-Résultats'!V27,Seigle!D29*Saisies!C14),Seigle!G29)*(1+IF(Saisies!C45="",Saisies!B45,Saisies!C45)*IF(Saisies!C59="",Saisies!B59,Saisies!C59))</f>
        <v>18.2</v>
      </c>
      <c r="Y27" s="3">
        <f>(Seigle_hybride!D29*Saisies!B15)*(1+Saisies!B46*Saisies!B59)</f>
        <v>25.024999999999999</v>
      </c>
      <c r="Z27" s="3">
        <f>IF(Seigle_hybride!G29="",IF(Saisies!C15="",'Intermédiaire_Prod-Résultats'!Y27,Seigle_hybride!D29*Saisies!C15),Seigle_hybride!G29)*(1+IF(Saisies!C46="",Saisies!B46,Saisies!C46)*IF(Saisies!C59="",Saisies!B59,Saisies!C59))</f>
        <v>25.024999999999999</v>
      </c>
      <c r="AA27" s="51"/>
      <c r="AB27" s="41">
        <f>('Maïs-grain'!D29*Saisies!B8)*(1+Saisies!B39*Saisies!B60)</f>
        <v>20.7866</v>
      </c>
      <c r="AC27" s="3">
        <f>IF('Maïs-grain'!G29="",'Maïs-grain'!D29*IF(Saisies!C8="",Saisies!B8,Saisies!C8),'Maïs-grain'!G29)*(1+IF(Saisies!C39="",Saisies!B39,Saisies!C39)*IF(Saisies!C60="",Saisies!B60,Saisies!C60))</f>
        <v>20.7866</v>
      </c>
      <c r="AE27" s="3">
        <f>(Soya!D29*Saisies!B9)*(1+Saisies!B40*Saisies!B60)</f>
        <v>14.805</v>
      </c>
      <c r="AF27" s="3">
        <f>IF(Soya!G29="",Soya!D29*IF(Saisies!C9="",Saisies!B9,Saisies!C9),Soya!G29)*(1+IF(Saisies!C40="",Saisies!B40,Saisies!C40)*IF(Saisies!C60="",Saisies!B60,Saisies!C60))</f>
        <v>14.805</v>
      </c>
      <c r="AH27" s="3">
        <f>(Orge!D29*Saisies!B10)*(1+Saisies!B41*Saisies!B60)</f>
        <v>61.823</v>
      </c>
      <c r="AI27" s="3">
        <f>IF(Orge!G29="",Orge!D29*IF(Saisies!C10="",Saisies!B10,Saisies!C10),Orge!G29)*(1+IF(Saisies!C41="",Saisies!B41,Saisies!C41)*IF(Saisies!C60="",Saisies!B60,Saisies!C60))</f>
        <v>61.823</v>
      </c>
      <c r="AK27" s="3">
        <f>(Avoine!D29*Saisies!B11)*(1+Saisies!B42*Saisies!B60)</f>
        <v>31.945399999999999</v>
      </c>
      <c r="AL27" s="3">
        <f>IF(Avoine!G29="",Avoine!D29*IF(Saisies!C11="",Saisies!B11,Saisies!C11),Avoine!G29)*(1+IF(Saisies!C42="",Saisies!B42,Saisies!C42)*IF(Saisies!C60="",Saisies!B60,Saisies!C60))</f>
        <v>31.945399999999999</v>
      </c>
      <c r="AN27" s="3">
        <f>('Blé_d''automne'!D29*Saisies!B13)*(1+Saisies!B44*Saisies!B60)</f>
        <v>54.817799999999998</v>
      </c>
      <c r="AO27" s="3">
        <f>IF('Blé_d''automne'!G29="",'Blé_d''automne'!D29*IF(Saisies!C13="",Saisies!B13,Saisies!C13),'Blé_d''automne'!G29)*(1+IF(Saisies!C44="",Saisies!B44,Saisies!C44)*IF(Saisies!C60="",Saisies!B60,Saisies!C60))</f>
        <v>54.817799999999998</v>
      </c>
      <c r="AQ27" s="3">
        <f>(Blé_printemps!D29*Saisies!B12)*(1+Saisies!B43*Saisies!B60)</f>
        <v>54.817799999999998</v>
      </c>
      <c r="AR27" s="3">
        <f>IF(Blé_printemps!G29="",Blé_printemps!D29*IF(Saisies!C12="",Saisies!B12,Saisies!C12),Blé_printemps!G29)*(1+IF(Saisies!C43="",Saisies!B43,Saisies!C43)*IF(Saisies!C60="",Saisies!B60,Saisies!C60))</f>
        <v>54.817799999999998</v>
      </c>
      <c r="AT27" s="3">
        <f>(Seigle!D29*Saisies!B14)*(1+Saisies!B45*Saisies!B60)</f>
        <v>19.200999999999997</v>
      </c>
      <c r="AU27" s="3">
        <f>IF(Seigle!G29="",Seigle!D29*IF(Saisies!C14="",Saisies!B14,Saisies!C14),Seigle!G29)*(1+IF(Saisies!C45="",Saisies!B45,Saisies!C45)*IF(Saisies!C60="",Saisies!B60,Saisies!C60))</f>
        <v>19.200999999999997</v>
      </c>
      <c r="AW27" s="3">
        <f>(Seigle_hybride!D29*Saisies!B15)*(1+Saisies!B46*Saisies!B60)</f>
        <v>26.401374999999998</v>
      </c>
      <c r="AX27" s="3">
        <f>IF(Seigle_hybride!G29="",Seigle_hybride!D29*IF(Saisies!C15="",Saisies!B15,Saisies!C15),Seigle_hybride!G29)*(1+IF(Saisies!C46="",Saisies!B46,Saisies!C46)*IF(Saisies!C60="",Saisies!B60,Saisies!C60))</f>
        <v>26.401374999999998</v>
      </c>
      <c r="AY27" s="51"/>
      <c r="AZ27" s="41">
        <f>('Maïs-grain'!D29*Saisies!B8)*(1+Saisies!B39*Saisies!B61)</f>
        <v>21.963200000000001</v>
      </c>
      <c r="BA27" s="3">
        <f>IF('Maïs-grain'!G29="",'Maïs-grain'!D29*IF(Saisies!C8="",Saisies!B8,Saisies!C8),'Maïs-grain'!G29)*(1+IF(Saisies!C39="",Saisies!B39,Saisies!C39)*IF(Saisies!C61="",Saisies!B61,Saisies!C61))</f>
        <v>21.963200000000001</v>
      </c>
      <c r="BC27" s="3">
        <f>(Soya!D29*Saisies!B9)*(1+Saisies!B40*Saisies!B61)</f>
        <v>15.510000000000002</v>
      </c>
      <c r="BD27" s="3">
        <f>IF(Soya!G29="",Soya!D29*IF(Saisies!C9="",Saisies!B9,Saisies!C9),Soya!G29)*(1+IF(Saisies!C40="",Saisies!B40,Saisies!C40)*IF(Saisies!C61="",Saisies!B61,Saisies!C61))</f>
        <v>15.510000000000002</v>
      </c>
      <c r="BF27" s="3">
        <f>(Orge!D29*Saisies!B10)*(1+Saisies!B41*Saisies!B61)</f>
        <v>65.046000000000006</v>
      </c>
      <c r="BG27" s="3">
        <f>IF(Orge!G29="",Orge!D29*IF(Saisies!C10="",Saisies!B10,Saisies!C10),Orge!G29)*(1+IF(Saisies!C41="",Saisies!B41,Saisies!C41)*IF(Saisies!C61="",Saisies!B61,Saisies!C61))</f>
        <v>65.046000000000006</v>
      </c>
      <c r="BI27" s="3">
        <f>(Avoine!D29*Saisies!B11)*(1+Saisies!B42*Saisies!B61)</f>
        <v>33.610800000000005</v>
      </c>
      <c r="BJ27" s="3">
        <f>IF(Avoine!G29="",Avoine!D29*IF(Saisies!C11="",Saisies!B11,Saisies!C11),Avoine!G29)*(1+IF(Saisies!C42="",Saisies!B42,Saisies!C42)*IF(Saisies!C61="",Saisies!B61,Saisies!C61))</f>
        <v>33.610800000000005</v>
      </c>
      <c r="BL27" s="3">
        <f>('Blé_d''automne'!D29*Saisies!B13)*(1+Saisies!B44*Saisies!B61)</f>
        <v>57.675600000000003</v>
      </c>
      <c r="BM27" s="3">
        <f>IF('Blé_d''automne'!G29="",'Blé_d''automne'!D29*IF(Saisies!C13="",Saisies!B13,Saisies!C13),'Blé_d''automne'!G29)*(1+IF(Saisies!C44="",Saisies!B44,Saisies!C44)*IF(Saisies!C61="",Saisies!B61,Saisies!C61))</f>
        <v>57.675600000000003</v>
      </c>
      <c r="BO27" s="3">
        <f>(Blé_printemps!D29*Saisies!B12)*(1+Saisies!B43*Saisies!B61)</f>
        <v>57.675600000000003</v>
      </c>
      <c r="BP27" s="3">
        <f>IF(Blé_printemps!G29="",Blé_printemps!D29*IF(Saisies!C12="",Saisies!B12,Saisies!C12),Blé_printemps!G29)*(1+IF(Saisies!C43="",Saisies!B43,Saisies!C43)*IF(Saisies!C61="",Saisies!B61,Saisies!C61))</f>
        <v>57.675600000000003</v>
      </c>
      <c r="BR27" s="3">
        <f>(Seigle!D29*Saisies!B14)*(1+Saisies!B45*Saisies!B61)</f>
        <v>20.202000000000002</v>
      </c>
      <c r="BS27" s="3">
        <f>IF(Seigle!G29="",Seigle!D29*IF(Saisies!C14="",Saisies!B14,Saisies!C14),Seigle!G29)*(1+IF(Saisies!C45="",Saisies!B45,Saisies!C45)*IF(Saisies!C61="",Saisies!B61,Saisies!C61))</f>
        <v>20.202000000000002</v>
      </c>
      <c r="BU27" s="3">
        <f>(Seigle_hybride!D29*Saisies!B15)*(1+Saisies!B46*Saisies!B61)</f>
        <v>27.777750000000001</v>
      </c>
      <c r="BV27" s="3">
        <f>IF(Seigle_hybride!G29="",Seigle_hybride!D29*IF(Saisies!C15="",Saisies!B15,Saisies!C15),Seigle_hybride!G29)*(1+IF(Saisies!C46="",Saisies!B46,Saisies!C46)*IF(Saisies!C61="",Saisies!B61,Saisies!C61))</f>
        <v>27.777750000000001</v>
      </c>
    </row>
    <row r="28" spans="1:74" x14ac:dyDescent="0.25">
      <c r="A28" t="s">
        <v>27</v>
      </c>
      <c r="D28" s="3">
        <f>'Maïs-grain'!E30</f>
        <v>9.24</v>
      </c>
      <c r="E28" s="3">
        <f>IF('Maïs-grain'!G30="",'Intermédiaire_Prod-Résultats'!D28,'Maïs-grain'!G30)</f>
        <v>9.24</v>
      </c>
      <c r="G28" s="3">
        <f>Soya!E30</f>
        <v>6.55</v>
      </c>
      <c r="H28" s="3">
        <f>IF(Soya!G30="",'Intermédiaire_Prod-Résultats'!G28,Soya!G30)</f>
        <v>6.55</v>
      </c>
      <c r="J28" s="3">
        <f>Orge!E30</f>
        <v>36.9</v>
      </c>
      <c r="K28" s="3">
        <f>IF(Orge!G30="",'Intermédiaire_Prod-Résultats'!J28,Orge!G30)</f>
        <v>36.9</v>
      </c>
      <c r="M28" s="3">
        <f>Avoine!E30</f>
        <v>19.25</v>
      </c>
      <c r="N28" s="3">
        <f>IF(Avoine!G30="",'Intermédiaire_Prod-Résultats'!M28,Avoine!G30)</f>
        <v>19.25</v>
      </c>
      <c r="P28" s="3">
        <f>'Blé_d''automne'!E30</f>
        <v>29.92</v>
      </c>
      <c r="Q28" s="3">
        <f>IF('Blé_d''automne'!G30="",'Intermédiaire_Prod-Résultats'!P28,'Blé_d''automne'!G30)</f>
        <v>29.92</v>
      </c>
      <c r="S28" s="3">
        <f>Blé_printemps!E30</f>
        <v>29.92</v>
      </c>
      <c r="T28" s="3">
        <f>IF(Blé_printemps!G30="",'Intermédiaire_Prod-Résultats'!S28,Blé_printemps!G30)</f>
        <v>29.92</v>
      </c>
      <c r="V28" s="3">
        <f>Seigle!E30</f>
        <v>85.04</v>
      </c>
      <c r="W28" s="3">
        <f>IF(Seigle!G30="",'Intermédiaire_Prod-Résultats'!V28,Seigle!G30)</f>
        <v>85.04</v>
      </c>
      <c r="Y28" s="3">
        <f>Seigle_hybride!E30</f>
        <v>85.04</v>
      </c>
      <c r="Z28" s="3">
        <f>IF(Seigle_hybride!G30="",'Intermédiaire_Prod-Résultats'!Y28,Seigle_hybride!G30)</f>
        <v>85.04</v>
      </c>
      <c r="AA28" s="51"/>
      <c r="AB28" s="41">
        <f>'Maïs-grain'!E30</f>
        <v>9.24</v>
      </c>
      <c r="AC28" s="3">
        <f>IF('Maïs-grain'!G30="",'Intermédiaire_Prod-Résultats'!AB28,'Maïs-grain'!G30)</f>
        <v>9.24</v>
      </c>
      <c r="AE28" s="3">
        <f>Soya!E30</f>
        <v>6.55</v>
      </c>
      <c r="AF28" s="3">
        <f>IF(Soya!G30="",'Intermédiaire_Prod-Résultats'!AE28,Soya!G30)</f>
        <v>6.55</v>
      </c>
      <c r="AH28" s="3">
        <f>Orge!E30</f>
        <v>36.9</v>
      </c>
      <c r="AI28" s="3">
        <f>IF(Orge!G30="",'Intermédiaire_Prod-Résultats'!AH28,Orge!G30)</f>
        <v>36.9</v>
      </c>
      <c r="AK28" s="3">
        <f>Avoine!E30</f>
        <v>19.25</v>
      </c>
      <c r="AL28" s="3">
        <f>IF(Avoine!G30="",'Intermédiaire_Prod-Résultats'!AK28,Avoine!G30)</f>
        <v>19.25</v>
      </c>
      <c r="AN28" s="3">
        <f>'Blé_d''automne'!E30</f>
        <v>29.92</v>
      </c>
      <c r="AO28" s="3">
        <f>IF('Blé_d''automne'!G30="",'Intermédiaire_Prod-Résultats'!AN28,'Blé_d''automne'!G30)</f>
        <v>29.92</v>
      </c>
      <c r="AQ28" s="3">
        <f>Blé_printemps!E30</f>
        <v>29.92</v>
      </c>
      <c r="AR28" s="3">
        <f>IF(Blé_printemps!G30="",'Intermédiaire_Prod-Résultats'!AQ28,Blé_printemps!G30)</f>
        <v>29.92</v>
      </c>
      <c r="AT28" s="3">
        <f>Seigle!E30</f>
        <v>85.04</v>
      </c>
      <c r="AU28" s="3">
        <f>IF(Seigle!G30="",'Intermédiaire_Prod-Résultats'!AT28,Seigle!G30)</f>
        <v>85.04</v>
      </c>
      <c r="AW28" s="3">
        <f>Seigle_hybride!E30</f>
        <v>85.04</v>
      </c>
      <c r="AX28" s="3">
        <f>IF(Seigle_hybride!G30="",'Intermédiaire_Prod-Résultats'!AW28,Seigle_hybride!G30)</f>
        <v>85.04</v>
      </c>
      <c r="AY28" s="51"/>
      <c r="AZ28" s="41">
        <f>'Maïs-grain'!E30</f>
        <v>9.24</v>
      </c>
      <c r="BA28" s="3">
        <f>IF('Maïs-grain'!G30="",'Intermédiaire_Prod-Résultats'!AZ28,'Maïs-grain'!G30)</f>
        <v>9.24</v>
      </c>
      <c r="BC28" s="3">
        <f>Soya!E30</f>
        <v>6.55</v>
      </c>
      <c r="BD28" s="3">
        <f>IF(Soya!G30="",'Intermédiaire_Prod-Résultats'!BC28,Soya!G30)</f>
        <v>6.55</v>
      </c>
      <c r="BF28" s="3">
        <f>Orge!E30</f>
        <v>36.9</v>
      </c>
      <c r="BG28" s="3">
        <f>IF(Orge!G30="",'Intermédiaire_Prod-Résultats'!BF28,Orge!G30)</f>
        <v>36.9</v>
      </c>
      <c r="BI28" s="3">
        <f>Avoine!E30</f>
        <v>19.25</v>
      </c>
      <c r="BJ28" s="3">
        <f>IF(Avoine!G30="",'Intermédiaire_Prod-Résultats'!BI28,Avoine!G30)</f>
        <v>19.25</v>
      </c>
      <c r="BL28" s="3">
        <f>'Blé_d''automne'!E30</f>
        <v>29.92</v>
      </c>
      <c r="BM28" s="3">
        <f>IF('Blé_d''automne'!G30="",'Intermédiaire_Prod-Résultats'!BL28,'Blé_d''automne'!G30)</f>
        <v>29.92</v>
      </c>
      <c r="BO28" s="3">
        <f>Blé_printemps!E30</f>
        <v>29.92</v>
      </c>
      <c r="BP28" s="3">
        <f>IF(Blé_printemps!G30="",'Intermédiaire_Prod-Résultats'!BO28,Blé_printemps!G30)</f>
        <v>29.92</v>
      </c>
      <c r="BR28" s="3">
        <f>Seigle!E30</f>
        <v>85.04</v>
      </c>
      <c r="BS28" s="3">
        <f>IF(Seigle!G30="",'Intermédiaire_Prod-Résultats'!BR28,Seigle!G30)</f>
        <v>85.04</v>
      </c>
      <c r="BU28" s="3">
        <f>Seigle_hybride!E30</f>
        <v>85.04</v>
      </c>
      <c r="BV28" s="3">
        <f>IF(Seigle_hybride!G30="",'Intermédiaire_Prod-Résultats'!BU28,Seigle_hybride!G30)</f>
        <v>85.04</v>
      </c>
    </row>
    <row r="29" spans="1:74" x14ac:dyDescent="0.25">
      <c r="B29" s="1" t="s">
        <v>28</v>
      </c>
      <c r="D29" s="6">
        <f>SUM(D15:D28)</f>
        <v>1701.26</v>
      </c>
      <c r="E29" s="6">
        <f>SUM(E15:E28)</f>
        <v>1701.26</v>
      </c>
      <c r="G29" s="6">
        <f>SUM(G15:G28)</f>
        <v>782.95</v>
      </c>
      <c r="H29" s="6">
        <f>SUM(H15:H28)</f>
        <v>782.95</v>
      </c>
      <c r="J29" s="6">
        <f>SUM(J15:J28)</f>
        <v>1146.83</v>
      </c>
      <c r="K29" s="6">
        <f>SUM(K15:K28)</f>
        <v>1146.83</v>
      </c>
      <c r="M29" s="6">
        <f>SUM(M15:M28)</f>
        <v>812.83</v>
      </c>
      <c r="N29" s="6">
        <f>SUM(N15:N28)</f>
        <v>812.83</v>
      </c>
      <c r="P29" s="6">
        <f>SUM(P15:P28)</f>
        <v>1074.1800000000003</v>
      </c>
      <c r="Q29" s="6">
        <f>SUM(Q15:Q28)</f>
        <v>1074.1800000000003</v>
      </c>
      <c r="S29" s="6">
        <f>SUM(S15:S28)</f>
        <v>1106.2900000000002</v>
      </c>
      <c r="T29" s="6">
        <f>SUM(T15:T28)</f>
        <v>1106.2900000000002</v>
      </c>
      <c r="V29" s="6">
        <f>SUM(V15:V28)</f>
        <v>730.26</v>
      </c>
      <c r="W29" s="6">
        <f>SUM(W15:W28)</f>
        <v>730.26</v>
      </c>
      <c r="Y29" s="6">
        <f>SUM(Y15:Y28)</f>
        <v>789.43499999999995</v>
      </c>
      <c r="Z29" s="6">
        <f>SUM(Z15:Z28)</f>
        <v>789.43499999999995</v>
      </c>
      <c r="AA29" s="51"/>
      <c r="AB29" s="42">
        <f>SUM(AB15:AB28)</f>
        <v>1663.3420000000001</v>
      </c>
      <c r="AC29" s="6">
        <f>SUM(AC15:AC28)</f>
        <v>1663.3420000000001</v>
      </c>
      <c r="AE29" s="6">
        <f>SUM(AE15:AE28)</f>
        <v>783.66499999999996</v>
      </c>
      <c r="AF29" s="6">
        <f>SUM(AF15:AF28)</f>
        <v>783.66499999999996</v>
      </c>
      <c r="AH29" s="6">
        <f>SUM(AH15:AH28)</f>
        <v>1152.8459</v>
      </c>
      <c r="AI29" s="6">
        <f>SUM(AI15:AI28)</f>
        <v>1152.8459</v>
      </c>
      <c r="AK29" s="6">
        <f>SUM(AK15:AK28)</f>
        <v>815.71695</v>
      </c>
      <c r="AL29" s="6">
        <f>SUM(AL15:AL28)</f>
        <v>815.71695</v>
      </c>
      <c r="AN29" s="6">
        <f>SUM(AN15:AN28)</f>
        <v>1079.3945500000002</v>
      </c>
      <c r="AO29" s="6">
        <f>SUM(AO15:AO28)</f>
        <v>1079.3945500000002</v>
      </c>
      <c r="AQ29" s="6">
        <f>SUM(AQ15:AQ28)</f>
        <v>1111.5045500000001</v>
      </c>
      <c r="AR29" s="6">
        <f>SUM(AR15:AR28)</f>
        <v>1111.5045500000001</v>
      </c>
      <c r="AT29" s="6">
        <f>SUM(AT15:AT28)</f>
        <v>731.26099999999997</v>
      </c>
      <c r="AU29" s="6">
        <f>SUM(AU15:AU28)</f>
        <v>731.26099999999997</v>
      </c>
      <c r="AW29" s="6">
        <f>SUM(AW15:AW28)</f>
        <v>790.811375</v>
      </c>
      <c r="AX29" s="6">
        <f>SUM(AX15:AX28)</f>
        <v>790.811375</v>
      </c>
      <c r="AY29" s="51"/>
      <c r="AZ29" s="42">
        <f>SUM(AZ15:AZ28)</f>
        <v>1625.4240000000002</v>
      </c>
      <c r="BA29" s="6">
        <f>SUM(BA15:BA28)</f>
        <v>1625.4240000000002</v>
      </c>
      <c r="BC29" s="6">
        <f>SUM(BC15:BC28)</f>
        <v>784.38</v>
      </c>
      <c r="BD29" s="6">
        <f>SUM(BD15:BD28)</f>
        <v>784.38</v>
      </c>
      <c r="BF29" s="6">
        <f>SUM(BF15:BF28)</f>
        <v>1158.8618000000001</v>
      </c>
      <c r="BG29" s="6">
        <f>SUM(BG15:BG28)</f>
        <v>1158.8618000000001</v>
      </c>
      <c r="BI29" s="6">
        <f>SUM(BI15:BI28)</f>
        <v>818.60390000000007</v>
      </c>
      <c r="BJ29" s="6">
        <f>SUM(BJ15:BJ28)</f>
        <v>818.60390000000007</v>
      </c>
      <c r="BL29" s="6">
        <f>SUM(BL15:BL28)</f>
        <v>1084.6091000000001</v>
      </c>
      <c r="BM29" s="6">
        <f>SUM(BM15:BM28)</f>
        <v>1084.6091000000001</v>
      </c>
      <c r="BO29" s="6">
        <f>SUM(BO15:BO28)</f>
        <v>1116.7191000000003</v>
      </c>
      <c r="BP29" s="6">
        <f>SUM(BP15:BP28)</f>
        <v>1116.7191000000003</v>
      </c>
      <c r="BR29" s="6">
        <f>SUM(BR15:BR28)</f>
        <v>732.26199999999994</v>
      </c>
      <c r="BS29" s="6">
        <f>SUM(BS15:BS28)</f>
        <v>732.26199999999994</v>
      </c>
      <c r="BU29" s="6">
        <f>SUM(BU15:BU28)</f>
        <v>792.18774999999994</v>
      </c>
      <c r="BV29" s="6">
        <f>SUM(BV15:BV28)</f>
        <v>792.18774999999994</v>
      </c>
    </row>
    <row r="30" spans="1:74" x14ac:dyDescent="0.25">
      <c r="D30" s="3"/>
      <c r="E30" s="3"/>
      <c r="G30" s="3"/>
      <c r="H30" s="3"/>
      <c r="J30" s="3"/>
      <c r="K30" s="3"/>
      <c r="M30" s="3"/>
      <c r="N30" s="3"/>
      <c r="P30" s="3"/>
      <c r="Q30" s="3"/>
      <c r="S30" s="3"/>
      <c r="T30" s="3"/>
      <c r="V30" s="3"/>
      <c r="W30" s="3"/>
      <c r="Y30" s="3"/>
      <c r="Z30" s="3"/>
      <c r="AA30" s="51"/>
      <c r="AB30" s="41"/>
      <c r="AC30" s="3"/>
      <c r="AE30" s="3"/>
      <c r="AF30" s="3"/>
      <c r="AH30" s="3"/>
      <c r="AI30" s="3"/>
      <c r="AK30" s="3"/>
      <c r="AL30" s="3"/>
      <c r="AN30" s="3"/>
      <c r="AO30" s="3"/>
      <c r="AQ30" s="3"/>
      <c r="AR30" s="3"/>
      <c r="AT30" s="3"/>
      <c r="AU30" s="3"/>
      <c r="AW30" s="3"/>
      <c r="AX30" s="3"/>
      <c r="AY30" s="51"/>
      <c r="AZ30" s="41"/>
      <c r="BA30" s="3"/>
      <c r="BC30" s="3"/>
      <c r="BD30" s="3"/>
      <c r="BF30" s="3"/>
      <c r="BG30" s="3"/>
      <c r="BI30" s="3"/>
      <c r="BJ30" s="3"/>
      <c r="BL30" s="3"/>
      <c r="BM30" s="3"/>
      <c r="BO30" s="3"/>
      <c r="BP30" s="3"/>
      <c r="BR30" s="3"/>
      <c r="BS30" s="3"/>
      <c r="BU30" s="3"/>
      <c r="BV30" s="3"/>
    </row>
    <row r="31" spans="1:74" x14ac:dyDescent="0.25">
      <c r="A31" t="s">
        <v>29</v>
      </c>
      <c r="D31" s="3">
        <f>'Maïs-grain'!E34</f>
        <v>0</v>
      </c>
      <c r="E31" s="3">
        <f>IF('Maïs-grain'!G34="",'Intermédiaire_Prod-Résultats'!D31,'Maïs-grain'!G34)</f>
        <v>0</v>
      </c>
      <c r="G31" s="3">
        <f>Soya!E34</f>
        <v>0</v>
      </c>
      <c r="H31" s="3">
        <f>IF(Soya!G34="",'Intermédiaire_Prod-Résultats'!G31,Soya!G34)</f>
        <v>0</v>
      </c>
      <c r="J31" s="3">
        <f>Orge!E34</f>
        <v>49.45</v>
      </c>
      <c r="K31" s="3">
        <f>IF(Orge!G34="",'Intermédiaire_Prod-Résultats'!J31,Orge!G34)</f>
        <v>49.45</v>
      </c>
      <c r="M31" s="3">
        <f>Avoine!E34</f>
        <v>70.709999999999994</v>
      </c>
      <c r="N31" s="3">
        <f>IF(Avoine!G34="",'Intermédiaire_Prod-Résultats'!M31,Avoine!G34)</f>
        <v>70.709999999999994</v>
      </c>
      <c r="P31" s="3">
        <f>'Blé_d''automne'!E34</f>
        <v>7.11</v>
      </c>
      <c r="Q31" s="3">
        <f>IF('Blé_d''automne'!G34="",'Intermédiaire_Prod-Résultats'!P31,'Blé_d''automne'!G34)</f>
        <v>7.11</v>
      </c>
      <c r="S31" s="3">
        <f>Blé_printemps!E34</f>
        <v>7.11</v>
      </c>
      <c r="T31" s="3">
        <f>IF(Blé_printemps!G34="",'Intermédiaire_Prod-Résultats'!S31,Blé_printemps!G34)</f>
        <v>7.11</v>
      </c>
      <c r="V31" s="3">
        <f>Seigle!E34</f>
        <v>0</v>
      </c>
      <c r="W31" s="3">
        <f>IF(Seigle!G34="",'Intermédiaire_Prod-Résultats'!V31,Seigle!G34)</f>
        <v>0</v>
      </c>
      <c r="Y31" s="3">
        <f>Seigle_hybride!E34</f>
        <v>0</v>
      </c>
      <c r="Z31" s="3">
        <f>IF(Seigle_hybride!G34="",'Intermédiaire_Prod-Résultats'!Y31,Seigle_hybride!G34)</f>
        <v>0</v>
      </c>
      <c r="AA31" s="51"/>
      <c r="AB31" s="41">
        <f>'Maïs-grain'!E34</f>
        <v>0</v>
      </c>
      <c r="AC31" s="3">
        <f>IF('Maïs-grain'!G34="",'Intermédiaire_Prod-Résultats'!AB31,'Maïs-grain'!G34)</f>
        <v>0</v>
      </c>
      <c r="AE31" s="3">
        <f>Soya!E34</f>
        <v>0</v>
      </c>
      <c r="AF31" s="3">
        <f>IF(Soya!G34="",'Intermédiaire_Prod-Résultats'!AE31,Soya!G34)</f>
        <v>0</v>
      </c>
      <c r="AH31" s="3">
        <f>Orge!E34</f>
        <v>49.45</v>
      </c>
      <c r="AI31" s="3">
        <f>IF(Orge!G34="",'Intermédiaire_Prod-Résultats'!AH31,Orge!G34)</f>
        <v>49.45</v>
      </c>
      <c r="AK31" s="3">
        <f>Avoine!E34</f>
        <v>70.709999999999994</v>
      </c>
      <c r="AL31" s="3">
        <f>IF(Avoine!G34="",'Intermédiaire_Prod-Résultats'!AK31,Avoine!G34)</f>
        <v>70.709999999999994</v>
      </c>
      <c r="AN31" s="3">
        <f>'Blé_d''automne'!E34</f>
        <v>7.11</v>
      </c>
      <c r="AO31" s="3">
        <f>IF('Blé_d''automne'!G34="",'Intermédiaire_Prod-Résultats'!AN31,'Blé_d''automne'!G34)</f>
        <v>7.11</v>
      </c>
      <c r="AQ31" s="3">
        <f>Blé_printemps!E34</f>
        <v>7.11</v>
      </c>
      <c r="AR31" s="3">
        <f>IF(Blé_printemps!G34="",'Intermédiaire_Prod-Résultats'!AQ31,Blé_printemps!G34)</f>
        <v>7.11</v>
      </c>
      <c r="AT31" s="3">
        <f>Seigle!E34</f>
        <v>0</v>
      </c>
      <c r="AU31" s="3">
        <f>IF(Seigle!G34="",'Intermédiaire_Prod-Résultats'!AT31,Seigle!G34)</f>
        <v>0</v>
      </c>
      <c r="AW31" s="3">
        <f>Seigle_hybride!E34</f>
        <v>0</v>
      </c>
      <c r="AX31" s="3">
        <f>IF(Seigle_hybride!G34="",'Intermédiaire_Prod-Résultats'!AW31,Seigle_hybride!G34)</f>
        <v>0</v>
      </c>
      <c r="AY31" s="51"/>
      <c r="AZ31" s="41">
        <f>'Maïs-grain'!E34</f>
        <v>0</v>
      </c>
      <c r="BA31" s="3">
        <f>IF('Maïs-grain'!G34="",'Intermédiaire_Prod-Résultats'!AZ31,'Maïs-grain'!G34)</f>
        <v>0</v>
      </c>
      <c r="BC31" s="3">
        <f>Soya!E34</f>
        <v>0</v>
      </c>
      <c r="BD31" s="3">
        <f>IF(Soya!G34="",'Intermédiaire_Prod-Résultats'!BC31,Soya!G34)</f>
        <v>0</v>
      </c>
      <c r="BF31" s="3">
        <f>Orge!E34</f>
        <v>49.45</v>
      </c>
      <c r="BG31" s="3">
        <f>IF(Orge!G34="",'Intermédiaire_Prod-Résultats'!BF31,Orge!G34)</f>
        <v>49.45</v>
      </c>
      <c r="BI31" s="3">
        <f>Avoine!E34</f>
        <v>70.709999999999994</v>
      </c>
      <c r="BJ31" s="3">
        <f>IF(Avoine!G34="",'Intermédiaire_Prod-Résultats'!BI31,Avoine!G34)</f>
        <v>70.709999999999994</v>
      </c>
      <c r="BL31" s="3">
        <f>'Blé_d''automne'!E34</f>
        <v>7.11</v>
      </c>
      <c r="BM31" s="3">
        <f>IF('Blé_d''automne'!G34="",'Intermédiaire_Prod-Résultats'!BL31,'Blé_d''automne'!G34)</f>
        <v>7.11</v>
      </c>
      <c r="BO31" s="3">
        <f>Blé_printemps!E34</f>
        <v>7.11</v>
      </c>
      <c r="BP31" s="3">
        <f>IF(Blé_printemps!G34="",'Intermédiaire_Prod-Résultats'!BO31,Blé_printemps!G34)</f>
        <v>7.11</v>
      </c>
      <c r="BR31" s="3">
        <f>Seigle!E34</f>
        <v>0</v>
      </c>
      <c r="BS31" s="3">
        <f>IF(Seigle!G34="",'Intermédiaire_Prod-Résultats'!BR31,Seigle!G34)</f>
        <v>0</v>
      </c>
      <c r="BU31" s="3">
        <f>Seigle_hybride!E34</f>
        <v>0</v>
      </c>
      <c r="BV31" s="3">
        <f>IF(Seigle_hybride!G34="",'Intermédiaire_Prod-Résultats'!BU31,Seigle_hybride!G34)</f>
        <v>0</v>
      </c>
    </row>
    <row r="32" spans="1:74" x14ac:dyDescent="0.25">
      <c r="A32" t="s">
        <v>30</v>
      </c>
      <c r="D32" s="3">
        <f>'Maïs-grain'!E35</f>
        <v>8.44</v>
      </c>
      <c r="E32" s="3">
        <f>IF('Maïs-grain'!G35="",'Intermédiaire_Prod-Résultats'!D32,'Maïs-grain'!G35)</f>
        <v>8.44</v>
      </c>
      <c r="G32" s="3">
        <f>Soya!E35</f>
        <v>7.84</v>
      </c>
      <c r="H32" s="3">
        <f>IF(Soya!G35="",'Intermédiaire_Prod-Résultats'!G32,Soya!G35)</f>
        <v>7.84</v>
      </c>
      <c r="J32" s="3">
        <f>Orge!E35</f>
        <v>2.6799999999999997</v>
      </c>
      <c r="K32" s="3">
        <f>IF(Orge!G35="",'Intermédiaire_Prod-Résultats'!J32,Orge!G35)</f>
        <v>2.6799999999999997</v>
      </c>
      <c r="M32" s="3">
        <f>Avoine!E35</f>
        <v>3.44</v>
      </c>
      <c r="N32" s="3">
        <f>IF(Avoine!G35="",'Intermédiaire_Prod-Résultats'!M32,Avoine!G35)</f>
        <v>3.44</v>
      </c>
      <c r="P32" s="3">
        <f>'Blé_d''automne'!E35</f>
        <v>35.020000000000003</v>
      </c>
      <c r="Q32" s="3">
        <f>IF('Blé_d''automne'!G35="",'Intermédiaire_Prod-Résultats'!P32,'Blé_d''automne'!G35)</f>
        <v>35.020000000000003</v>
      </c>
      <c r="S32" s="3">
        <f>Blé_printemps!E35</f>
        <v>35.020000000000003</v>
      </c>
      <c r="T32" s="3">
        <f>IF(Blé_printemps!G35="",'Intermédiaire_Prod-Résultats'!S32,Blé_printemps!G35)</f>
        <v>35.020000000000003</v>
      </c>
      <c r="V32" s="3">
        <f>Seigle!E35</f>
        <v>0</v>
      </c>
      <c r="W32" s="3">
        <f>IF(Seigle!G35="",'Intermédiaire_Prod-Résultats'!V32,Seigle!G35)</f>
        <v>0</v>
      </c>
      <c r="Y32" s="3">
        <f>Seigle_hybride!E35</f>
        <v>0</v>
      </c>
      <c r="Z32" s="3">
        <f>IF(Seigle_hybride!G35="",'Intermédiaire_Prod-Résultats'!Y32,Seigle_hybride!G35)</f>
        <v>0</v>
      </c>
      <c r="AA32" s="51"/>
      <c r="AB32" s="41">
        <f>'Maïs-grain'!E35</f>
        <v>8.44</v>
      </c>
      <c r="AC32" s="3">
        <f>IF('Maïs-grain'!G35="",'Intermédiaire_Prod-Résultats'!AB32,'Maïs-grain'!G35)</f>
        <v>8.44</v>
      </c>
      <c r="AE32" s="3">
        <f>Soya!E35</f>
        <v>7.84</v>
      </c>
      <c r="AF32" s="3">
        <f>IF(Soya!G35="",'Intermédiaire_Prod-Résultats'!AE32,Soya!G35)</f>
        <v>7.84</v>
      </c>
      <c r="AH32" s="3">
        <f>Orge!E35</f>
        <v>2.6799999999999997</v>
      </c>
      <c r="AI32" s="3">
        <f>IF(Orge!G35="",'Intermédiaire_Prod-Résultats'!AH32,Orge!G35)</f>
        <v>2.6799999999999997</v>
      </c>
      <c r="AK32" s="3">
        <f>Avoine!E35</f>
        <v>3.44</v>
      </c>
      <c r="AL32" s="3">
        <f>IF(Avoine!G35="",'Intermédiaire_Prod-Résultats'!AK32,Avoine!G35)</f>
        <v>3.44</v>
      </c>
      <c r="AN32" s="3">
        <f>'Blé_d''automne'!E35</f>
        <v>35.020000000000003</v>
      </c>
      <c r="AO32" s="3">
        <f>IF('Blé_d''automne'!G35="",'Intermédiaire_Prod-Résultats'!AN32,'Blé_d''automne'!G35)</f>
        <v>35.020000000000003</v>
      </c>
      <c r="AQ32" s="3">
        <f>Blé_printemps!E35</f>
        <v>35.020000000000003</v>
      </c>
      <c r="AR32" s="3">
        <f>IF(Blé_printemps!G35="",'Intermédiaire_Prod-Résultats'!AQ32,Blé_printemps!G35)</f>
        <v>35.020000000000003</v>
      </c>
      <c r="AT32" s="3">
        <f>Seigle!E35</f>
        <v>0</v>
      </c>
      <c r="AU32" s="3">
        <f>IF(Seigle!G35="",'Intermédiaire_Prod-Résultats'!AT32,Seigle!G35)</f>
        <v>0</v>
      </c>
      <c r="AW32" s="3">
        <f>Seigle_hybride!E35</f>
        <v>0</v>
      </c>
      <c r="AX32" s="3">
        <f>IF(Seigle_hybride!G35="",'Intermédiaire_Prod-Résultats'!AW32,Seigle_hybride!G35)</f>
        <v>0</v>
      </c>
      <c r="AY32" s="51"/>
      <c r="AZ32" s="41">
        <f>'Maïs-grain'!E35</f>
        <v>8.44</v>
      </c>
      <c r="BA32" s="3">
        <f>IF('Maïs-grain'!G35="",'Intermédiaire_Prod-Résultats'!AZ32,'Maïs-grain'!G35)</f>
        <v>8.44</v>
      </c>
      <c r="BC32" s="3">
        <f>Soya!E35</f>
        <v>7.84</v>
      </c>
      <c r="BD32" s="3">
        <f>IF(Soya!G35="",'Intermédiaire_Prod-Résultats'!BC32,Soya!G35)</f>
        <v>7.84</v>
      </c>
      <c r="BF32" s="3">
        <f>Orge!E35</f>
        <v>2.6799999999999997</v>
      </c>
      <c r="BG32" s="3">
        <f>IF(Orge!G35="",'Intermédiaire_Prod-Résultats'!BF32,Orge!G35)</f>
        <v>2.6799999999999997</v>
      </c>
      <c r="BI32" s="3">
        <f>Avoine!E35</f>
        <v>3.44</v>
      </c>
      <c r="BJ32" s="3">
        <f>IF(Avoine!G35="",'Intermédiaire_Prod-Résultats'!BI32,Avoine!G35)</f>
        <v>3.44</v>
      </c>
      <c r="BL32" s="3">
        <f>'Blé_d''automne'!E35</f>
        <v>35.020000000000003</v>
      </c>
      <c r="BM32" s="3">
        <f>IF('Blé_d''automne'!G35="",'Intermédiaire_Prod-Résultats'!BL32,'Blé_d''automne'!G35)</f>
        <v>35.020000000000003</v>
      </c>
      <c r="BO32" s="3">
        <f>Blé_printemps!E35</f>
        <v>35.020000000000003</v>
      </c>
      <c r="BP32" s="3">
        <f>IF(Blé_printemps!G35="",'Intermédiaire_Prod-Résultats'!BO32,Blé_printemps!G35)</f>
        <v>35.020000000000003</v>
      </c>
      <c r="BR32" s="3">
        <f>Seigle!E35</f>
        <v>0</v>
      </c>
      <c r="BS32" s="3">
        <f>IF(Seigle!G35="",'Intermédiaire_Prod-Résultats'!BR32,Seigle!G35)</f>
        <v>0</v>
      </c>
      <c r="BU32" s="3">
        <f>Seigle_hybride!E35</f>
        <v>0</v>
      </c>
      <c r="BV32" s="3">
        <f>IF(Seigle_hybride!G35="",'Intermédiaire_Prod-Résultats'!BU32,Seigle_hybride!G35)</f>
        <v>0</v>
      </c>
    </row>
    <row r="33" spans="1:74" x14ac:dyDescent="0.25">
      <c r="D33" s="3"/>
      <c r="E33" s="3"/>
      <c r="G33" s="3"/>
      <c r="H33" s="3"/>
      <c r="J33" s="3"/>
      <c r="K33" s="3"/>
      <c r="M33" s="3"/>
      <c r="N33" s="3"/>
      <c r="P33" s="3"/>
      <c r="Q33" s="3"/>
      <c r="S33" s="3"/>
      <c r="T33" s="3"/>
      <c r="V33" s="3"/>
      <c r="W33" s="3"/>
      <c r="Y33" s="3"/>
      <c r="Z33" s="3"/>
      <c r="AA33" s="51"/>
      <c r="AB33" s="41"/>
      <c r="AC33" s="3"/>
      <c r="AE33" s="3"/>
      <c r="AF33" s="3"/>
      <c r="AH33" s="3"/>
      <c r="AI33" s="3"/>
      <c r="AK33" s="3"/>
      <c r="AL33" s="3"/>
      <c r="AN33" s="3"/>
      <c r="AO33" s="3"/>
      <c r="AQ33" s="3"/>
      <c r="AR33" s="3"/>
      <c r="AT33" s="3"/>
      <c r="AU33" s="3"/>
      <c r="AW33" s="3"/>
      <c r="AX33" s="3"/>
      <c r="AY33" s="51"/>
      <c r="AZ33" s="41"/>
      <c r="BA33" s="3"/>
      <c r="BC33" s="3"/>
      <c r="BD33" s="3"/>
      <c r="BF33" s="3"/>
      <c r="BG33" s="3"/>
      <c r="BI33" s="3"/>
      <c r="BJ33" s="3"/>
      <c r="BL33" s="3"/>
      <c r="BM33" s="3"/>
      <c r="BO33" s="3"/>
      <c r="BP33" s="3"/>
      <c r="BR33" s="3"/>
      <c r="BS33" s="3"/>
      <c r="BU33" s="3"/>
      <c r="BV33" s="3"/>
    </row>
    <row r="34" spans="1:74" ht="30" customHeight="1" x14ac:dyDescent="0.25">
      <c r="A34" s="94" t="s">
        <v>65</v>
      </c>
      <c r="B34" s="94"/>
      <c r="C34" s="94"/>
      <c r="D34" s="6">
        <f>D11-D29-SUM(D31:D32)</f>
        <v>2149.19058</v>
      </c>
      <c r="E34" s="6">
        <f>E11-E29-SUM(E31:E32)</f>
        <v>2149.19058</v>
      </c>
      <c r="G34" s="6">
        <f>G11-G29-SUM(G31:G32)</f>
        <v>1611.4624400000002</v>
      </c>
      <c r="H34" s="6">
        <f>H11-H29-SUM(H31:H32)</f>
        <v>1611.4624400000002</v>
      </c>
      <c r="J34" s="6">
        <f>J11-J29-SUM(J31:J32)</f>
        <v>299.19640000000015</v>
      </c>
      <c r="K34" s="6">
        <f>K11-K29-SUM(K31:K32)</f>
        <v>299.19640000000015</v>
      </c>
      <c r="M34" s="6">
        <f>M11-M29-SUM(M31:M32)</f>
        <v>229.32150000000001</v>
      </c>
      <c r="N34" s="6">
        <f>N11-N29-SUM(N31:N32)</f>
        <v>229.32150000000001</v>
      </c>
      <c r="P34" s="6">
        <f>P11-P29-SUM(P31:P32)</f>
        <v>994.23709999999949</v>
      </c>
      <c r="Q34" s="6">
        <f>Q11-Q29-SUM(Q31:Q32)</f>
        <v>994.23709999999949</v>
      </c>
      <c r="S34" s="6">
        <f>S11-S29-SUM(S31:S32)</f>
        <v>632.72840000000008</v>
      </c>
      <c r="T34" s="6">
        <f>T11-T29-SUM(T31:T32)</f>
        <v>632.72840000000008</v>
      </c>
      <c r="V34" s="6">
        <f>V11-V29-SUM(V31:V32)</f>
        <v>555.54009999999994</v>
      </c>
      <c r="W34" s="6">
        <f>W11-W29-SUM(W31:W32)</f>
        <v>555.54009999999994</v>
      </c>
      <c r="Y34" s="6">
        <f>Y11-Y29-SUM(Y31:Y32)</f>
        <v>1188.3990000000001</v>
      </c>
      <c r="Z34" s="6">
        <f>Z11-Z29-SUM(Z31:Z32)</f>
        <v>1188.3990000000001</v>
      </c>
      <c r="AA34" s="51"/>
      <c r="AB34" s="42">
        <f>AB11-AB29-SUM(AB31:AB32)</f>
        <v>2419.4891680000001</v>
      </c>
      <c r="AC34" s="6">
        <f>AC11-AC29-SUM(AC31:AC32)</f>
        <v>2419.4891680000001</v>
      </c>
      <c r="AE34" s="6">
        <f>AE11-AE29-SUM(AE31:AE32)</f>
        <v>1728.5976400000002</v>
      </c>
      <c r="AF34" s="6">
        <f>AF11-AF29-SUM(AF31:AF32)</f>
        <v>1728.5976400000002</v>
      </c>
      <c r="AH34" s="6">
        <f>AH11-AH29-SUM(AH31:AH32)</f>
        <v>351.23024999999996</v>
      </c>
      <c r="AI34" s="6">
        <f>AI11-AI29-SUM(AI31:AI32)</f>
        <v>351.23024999999996</v>
      </c>
      <c r="AK34" s="6">
        <f>AK11-AK29-SUM(AK31:AK32)</f>
        <v>269.67466999999999</v>
      </c>
      <c r="AL34" s="6">
        <f>AL11-AL29-SUM(AL31:AL32)</f>
        <v>269.67466999999999</v>
      </c>
      <c r="AN34" s="6">
        <f>AN11-AN29-SUM(AN31:AN32)</f>
        <v>1080.5133999999996</v>
      </c>
      <c r="AO34" s="6">
        <f>AO11-AO29-SUM(AO31:AO32)</f>
        <v>1080.5133999999996</v>
      </c>
      <c r="AQ34" s="6">
        <f>AQ11-AQ29-SUM(AQ31:AQ32)</f>
        <v>700.70652999999982</v>
      </c>
      <c r="AR34" s="6">
        <f>AR11-AR29-SUM(AR31:AR32)</f>
        <v>700.70652999999982</v>
      </c>
      <c r="AT34" s="6">
        <f>AT11-AT29-SUM(AT31:AT32)</f>
        <v>603.42309999999998</v>
      </c>
      <c r="AU34" s="6">
        <f>AU11-AU29-SUM(AU31:AU32)</f>
        <v>603.42309999999998</v>
      </c>
      <c r="AW34" s="6">
        <f>AW11-AW29-SUM(AW31:AW32)</f>
        <v>1271.0420000000001</v>
      </c>
      <c r="AX34" s="6">
        <f>AX11-AX29-SUM(AX31:AX32)</f>
        <v>1271.0420000000001</v>
      </c>
      <c r="AY34" s="51"/>
      <c r="AZ34" s="42">
        <f>AZ11-AZ29-SUM(AZ31:AZ32)</f>
        <v>2689.7877560000011</v>
      </c>
      <c r="BA34" s="6">
        <f>BA11-BA29-SUM(BA31:BA32)</f>
        <v>2689.7877560000011</v>
      </c>
      <c r="BC34" s="6">
        <f>BC11-BC29-SUM(BC31:BC32)</f>
        <v>1845.7328400000004</v>
      </c>
      <c r="BD34" s="6">
        <f>BD11-BD29-SUM(BD31:BD32)</f>
        <v>1845.7328400000004</v>
      </c>
      <c r="BF34" s="6">
        <f>BF11-BF29-SUM(BF31:BF32)</f>
        <v>403.26409999999976</v>
      </c>
      <c r="BG34" s="6">
        <f>BG11-BG29-SUM(BG31:BG32)</f>
        <v>403.26409999999976</v>
      </c>
      <c r="BI34" s="6">
        <f>BI11-BI29-SUM(BI31:BI32)</f>
        <v>310.02783999999986</v>
      </c>
      <c r="BJ34" s="6">
        <f>BJ11-BJ29-SUM(BJ31:BJ32)</f>
        <v>310.02783999999986</v>
      </c>
      <c r="BL34" s="6">
        <f>BL11-BL29-SUM(BL31:BL32)</f>
        <v>1166.7896999999998</v>
      </c>
      <c r="BM34" s="6">
        <f>BM11-BM29-SUM(BM31:BM32)</f>
        <v>1166.7896999999998</v>
      </c>
      <c r="BO34" s="6">
        <f>BO11-BO29-SUM(BO31:BO32)</f>
        <v>768.68466000000001</v>
      </c>
      <c r="BP34" s="6">
        <f>BP11-BP29-SUM(BP31:BP32)</f>
        <v>768.68466000000001</v>
      </c>
      <c r="BR34" s="6">
        <f>BR11-BR29-SUM(BR31:BR32)</f>
        <v>651.30610000000001</v>
      </c>
      <c r="BS34" s="6">
        <f>BS11-BS29-SUM(BS31:BS32)</f>
        <v>651.30610000000001</v>
      </c>
      <c r="BU34" s="6">
        <f>BU11-BU29-SUM(BU31:BU32)</f>
        <v>1353.6849999999999</v>
      </c>
      <c r="BV34" s="6">
        <f>BV11-BV29-SUM(BV31:BV32)</f>
        <v>1353.6849999999999</v>
      </c>
    </row>
    <row r="35" spans="1:74" x14ac:dyDescent="0.25">
      <c r="D35" s="3"/>
      <c r="E35" s="3"/>
      <c r="G35" s="3"/>
      <c r="H35" s="3"/>
      <c r="J35" s="3"/>
      <c r="K35" s="3"/>
      <c r="M35" s="3"/>
      <c r="N35" s="3"/>
      <c r="P35" s="3"/>
      <c r="Q35" s="3"/>
      <c r="S35" s="3"/>
      <c r="T35" s="3"/>
      <c r="V35" s="3"/>
      <c r="W35" s="3"/>
      <c r="Y35" s="3"/>
      <c r="Z35" s="3"/>
      <c r="AA35" s="51"/>
      <c r="AB35" s="41"/>
      <c r="AC35" s="3"/>
      <c r="AE35" s="3"/>
      <c r="AF35" s="3"/>
      <c r="AH35" s="3"/>
      <c r="AI35" s="3"/>
      <c r="AK35" s="3"/>
      <c r="AL35" s="3"/>
      <c r="AN35" s="3"/>
      <c r="AO35" s="3"/>
      <c r="AQ35" s="3"/>
      <c r="AR35" s="3"/>
      <c r="AT35" s="3"/>
      <c r="AU35" s="3"/>
      <c r="AW35" s="3"/>
      <c r="AX35" s="3"/>
      <c r="AY35" s="51"/>
      <c r="AZ35" s="41"/>
      <c r="BA35" s="3"/>
      <c r="BC35" s="3"/>
      <c r="BD35" s="3"/>
      <c r="BF35" s="3"/>
      <c r="BG35" s="3"/>
      <c r="BI35" s="3"/>
      <c r="BJ35" s="3"/>
      <c r="BL35" s="3"/>
      <c r="BM35" s="3"/>
      <c r="BO35" s="3"/>
      <c r="BP35" s="3"/>
      <c r="BR35" s="3"/>
      <c r="BS35" s="3"/>
      <c r="BU35" s="3"/>
      <c r="BV35" s="3"/>
    </row>
    <row r="36" spans="1:74" x14ac:dyDescent="0.25">
      <c r="A36" s="7" t="s">
        <v>31</v>
      </c>
      <c r="D36" s="3"/>
      <c r="E36" s="3"/>
      <c r="G36" s="3"/>
      <c r="H36" s="3"/>
      <c r="J36" s="3"/>
      <c r="K36" s="3"/>
      <c r="M36" s="3"/>
      <c r="N36" s="3"/>
      <c r="P36" s="3"/>
      <c r="Q36" s="3"/>
      <c r="S36" s="3"/>
      <c r="T36" s="3"/>
      <c r="V36" s="3"/>
      <c r="W36" s="3"/>
      <c r="Y36" s="3"/>
      <c r="Z36" s="3"/>
      <c r="AA36" s="51"/>
      <c r="AB36" s="41"/>
      <c r="AC36" s="3"/>
      <c r="AE36" s="3"/>
      <c r="AF36" s="3"/>
      <c r="AH36" s="3"/>
      <c r="AI36" s="3"/>
      <c r="AK36" s="3"/>
      <c r="AL36" s="3"/>
      <c r="AN36" s="3"/>
      <c r="AO36" s="3"/>
      <c r="AQ36" s="3"/>
      <c r="AR36" s="3"/>
      <c r="AT36" s="3"/>
      <c r="AU36" s="3"/>
      <c r="AW36" s="3"/>
      <c r="AX36" s="3"/>
      <c r="AY36" s="51"/>
      <c r="AZ36" s="41"/>
      <c r="BA36" s="3"/>
      <c r="BC36" s="3"/>
      <c r="BD36" s="3"/>
      <c r="BF36" s="3"/>
      <c r="BG36" s="3"/>
      <c r="BI36" s="3"/>
      <c r="BJ36" s="3"/>
      <c r="BL36" s="3"/>
      <c r="BM36" s="3"/>
      <c r="BO36" s="3"/>
      <c r="BP36" s="3"/>
      <c r="BR36" s="3"/>
      <c r="BS36" s="3"/>
      <c r="BU36" s="3"/>
      <c r="BV36" s="3"/>
    </row>
    <row r="37" spans="1:74" x14ac:dyDescent="0.25">
      <c r="A37" t="s">
        <v>32</v>
      </c>
      <c r="D37" s="3">
        <f>'Maïs-grain'!E40</f>
        <v>29.65</v>
      </c>
      <c r="E37" s="3">
        <f>IF('Maïs-grain'!G40="",'Intermédiaire_Prod-Résultats'!D37,'Maïs-grain'!G40)</f>
        <v>29.65</v>
      </c>
      <c r="G37" s="3">
        <f>Soya!E40</f>
        <v>17.21</v>
      </c>
      <c r="H37" s="3">
        <f>IF(Soya!G40="",'Intermédiaire_Prod-Résultats'!G37,Soya!G40)</f>
        <v>17.21</v>
      </c>
      <c r="J37" s="3">
        <f>Orge!E40</f>
        <v>30.3</v>
      </c>
      <c r="K37" s="3">
        <f>IF(Orge!G40="",'Intermédiaire_Prod-Résultats'!J37,Orge!G40)</f>
        <v>30.3</v>
      </c>
      <c r="M37" s="3">
        <f>Avoine!E40</f>
        <v>18.39</v>
      </c>
      <c r="N37" s="3">
        <f>IF(Avoine!G40="",'Intermédiaire_Prod-Résultats'!M37,Avoine!G40)</f>
        <v>18.39</v>
      </c>
      <c r="P37" s="3">
        <f>'Blé_d''automne'!E40</f>
        <v>5.0199999999999996</v>
      </c>
      <c r="Q37" s="3">
        <f>IF('Blé_d''automne'!G40="",'Intermédiaire_Prod-Résultats'!P37,'Blé_d''automne'!G40)</f>
        <v>5.0199999999999996</v>
      </c>
      <c r="S37" s="3">
        <f>Blé_printemps!E40</f>
        <v>5.0199999999999996</v>
      </c>
      <c r="T37" s="3">
        <f>IF(Blé_printemps!G40="",'Intermédiaire_Prod-Résultats'!S37,Blé_printemps!G40)</f>
        <v>5.0199999999999996</v>
      </c>
      <c r="V37" s="3">
        <f>Seigle!E40</f>
        <v>10.73</v>
      </c>
      <c r="W37" s="3">
        <f>IF(Seigle!G40="",'Intermédiaire_Prod-Résultats'!V37,Seigle!G40)</f>
        <v>10.73</v>
      </c>
      <c r="Y37" s="3">
        <f>Seigle_hybride!E40</f>
        <v>10.73</v>
      </c>
      <c r="Z37" s="3">
        <f>IF(Seigle_hybride!G40="",'Intermédiaire_Prod-Résultats'!Y37,Seigle_hybride!G40)</f>
        <v>10.73</v>
      </c>
      <c r="AA37" s="51"/>
      <c r="AB37" s="41">
        <f>'Maïs-grain'!E40</f>
        <v>29.65</v>
      </c>
      <c r="AC37" s="3">
        <f>IF('Maïs-grain'!G40="",'Intermédiaire_Prod-Résultats'!AB37,'Maïs-grain'!G40)</f>
        <v>29.65</v>
      </c>
      <c r="AE37" s="3">
        <f>Soya!E40</f>
        <v>17.21</v>
      </c>
      <c r="AF37" s="3">
        <f>IF(Soya!G40="",'Intermédiaire_Prod-Résultats'!AE37,Soya!G40)</f>
        <v>17.21</v>
      </c>
      <c r="AH37" s="3">
        <f>Orge!E40</f>
        <v>30.3</v>
      </c>
      <c r="AI37" s="3">
        <f>IF(Orge!G40="",'Intermédiaire_Prod-Résultats'!AH37,Orge!G40)</f>
        <v>30.3</v>
      </c>
      <c r="AK37" s="3">
        <f>Avoine!E40</f>
        <v>18.39</v>
      </c>
      <c r="AL37" s="3">
        <f>IF(Avoine!G40="",'Intermédiaire_Prod-Résultats'!AK37,Avoine!G40)</f>
        <v>18.39</v>
      </c>
      <c r="AN37" s="3">
        <f>'Blé_d''automne'!E40</f>
        <v>5.0199999999999996</v>
      </c>
      <c r="AO37" s="3">
        <f>IF('Blé_d''automne'!G40="",'Intermédiaire_Prod-Résultats'!AN37,'Blé_d''automne'!G40)</f>
        <v>5.0199999999999996</v>
      </c>
      <c r="AQ37" s="3">
        <f>Blé_printemps!E40</f>
        <v>5.0199999999999996</v>
      </c>
      <c r="AR37" s="3">
        <f>IF(Blé_printemps!G40="",'Intermédiaire_Prod-Résultats'!AQ37,Blé_printemps!G40)</f>
        <v>5.0199999999999996</v>
      </c>
      <c r="AT37" s="3">
        <f>Seigle!E40</f>
        <v>10.73</v>
      </c>
      <c r="AU37" s="3">
        <f>IF(Seigle!G40="",'Intermédiaire_Prod-Résultats'!AT37,Seigle!G40)</f>
        <v>10.73</v>
      </c>
      <c r="AW37" s="3">
        <f>Seigle_hybride!E40</f>
        <v>10.73</v>
      </c>
      <c r="AX37" s="3">
        <f>IF(Seigle_hybride!G40="",'Intermédiaire_Prod-Résultats'!AW37,Seigle_hybride!G40)</f>
        <v>10.73</v>
      </c>
      <c r="AY37" s="51"/>
      <c r="AZ37" s="41">
        <f>'Maïs-grain'!E40</f>
        <v>29.65</v>
      </c>
      <c r="BA37" s="3">
        <f>IF('Maïs-grain'!G40="",'Intermédiaire_Prod-Résultats'!AZ37,'Maïs-grain'!G40)</f>
        <v>29.65</v>
      </c>
      <c r="BC37" s="3">
        <f>Soya!E40</f>
        <v>17.21</v>
      </c>
      <c r="BD37" s="3">
        <f>IF(Soya!G40="",'Intermédiaire_Prod-Résultats'!BC37,Soya!G40)</f>
        <v>17.21</v>
      </c>
      <c r="BF37" s="3">
        <f>Orge!E40</f>
        <v>30.3</v>
      </c>
      <c r="BG37" s="3">
        <f>IF(Orge!G40="",'Intermédiaire_Prod-Résultats'!BF37,Orge!G40)</f>
        <v>30.3</v>
      </c>
      <c r="BI37" s="3">
        <f>Avoine!E40</f>
        <v>18.39</v>
      </c>
      <c r="BJ37" s="3">
        <f>IF(Avoine!G40="",'Intermédiaire_Prod-Résultats'!BI37,Avoine!G40)</f>
        <v>18.39</v>
      </c>
      <c r="BL37" s="3">
        <f>'Blé_d''automne'!E40</f>
        <v>5.0199999999999996</v>
      </c>
      <c r="BM37" s="3">
        <f>IF('Blé_d''automne'!G40="",'Intermédiaire_Prod-Résultats'!BL37,'Blé_d''automne'!G40)</f>
        <v>5.0199999999999996</v>
      </c>
      <c r="BO37" s="3">
        <f>Blé_printemps!E40</f>
        <v>5.0199999999999996</v>
      </c>
      <c r="BP37" s="3">
        <f>IF(Blé_printemps!G40="",'Intermédiaire_Prod-Résultats'!BO37,Blé_printemps!G40)</f>
        <v>5.0199999999999996</v>
      </c>
      <c r="BR37" s="3">
        <f>Seigle!E40</f>
        <v>10.73</v>
      </c>
      <c r="BS37" s="3">
        <f>IF(Seigle!G40="",'Intermédiaire_Prod-Résultats'!BR37,Seigle!G40)</f>
        <v>10.73</v>
      </c>
      <c r="BU37" s="3">
        <f>Seigle_hybride!E40</f>
        <v>10.73</v>
      </c>
      <c r="BV37" s="3">
        <f>IF(Seigle_hybride!G40="",'Intermédiaire_Prod-Résultats'!BU37,Seigle_hybride!G40)</f>
        <v>10.73</v>
      </c>
    </row>
    <row r="38" spans="1:74" x14ac:dyDescent="0.25">
      <c r="A38" t="s">
        <v>34</v>
      </c>
      <c r="D38" s="3">
        <f>'Maïs-grain'!E41</f>
        <v>51.08</v>
      </c>
      <c r="E38" s="3">
        <f>IF('Maïs-grain'!G41="",'Intermédiaire_Prod-Résultats'!D38,'Maïs-grain'!G41)</f>
        <v>51.08</v>
      </c>
      <c r="G38" s="3">
        <f>Soya!E41</f>
        <v>31.83</v>
      </c>
      <c r="H38" s="3">
        <f>IF(Soya!G41="",'Intermédiaire_Prod-Résultats'!G38,Soya!G41)</f>
        <v>31.83</v>
      </c>
      <c r="J38" s="3">
        <f>Orge!E41</f>
        <v>23.5</v>
      </c>
      <c r="K38" s="3">
        <f>IF(Orge!G41="",'Intermédiaire_Prod-Résultats'!J38,Orge!G41)</f>
        <v>23.5</v>
      </c>
      <c r="M38" s="3">
        <f>Avoine!E41</f>
        <v>26.26</v>
      </c>
      <c r="N38" s="3">
        <f>IF(Avoine!G41="",'Intermédiaire_Prod-Résultats'!M38,Avoine!G41)</f>
        <v>26.26</v>
      </c>
      <c r="P38" s="3">
        <f>'Blé_d''automne'!E41</f>
        <v>18.28</v>
      </c>
      <c r="Q38" s="3">
        <f>IF('Blé_d''automne'!G41="",'Intermédiaire_Prod-Résultats'!P38,'Blé_d''automne'!G41)</f>
        <v>18.28</v>
      </c>
      <c r="S38" s="3">
        <f>Blé_printemps!E41</f>
        <v>18.28</v>
      </c>
      <c r="T38" s="3">
        <f>IF(Blé_printemps!G41="",'Intermédiaire_Prod-Résultats'!S38,Blé_printemps!G41)</f>
        <v>18.28</v>
      </c>
      <c r="V38" s="3">
        <f>Seigle!E41</f>
        <v>0</v>
      </c>
      <c r="W38" s="3">
        <f>IF(Seigle!G41="",'Intermédiaire_Prod-Résultats'!V38,Seigle!G41)</f>
        <v>0</v>
      </c>
      <c r="Y38" s="3">
        <f>Seigle_hybride!E41</f>
        <v>0</v>
      </c>
      <c r="Z38" s="3">
        <f>IF(Seigle_hybride!G41="",'Intermédiaire_Prod-Résultats'!Y38,Seigle_hybride!G41)</f>
        <v>0</v>
      </c>
      <c r="AA38" s="51"/>
      <c r="AB38" s="41">
        <f>'Maïs-grain'!E41</f>
        <v>51.08</v>
      </c>
      <c r="AC38" s="3">
        <f>IF('Maïs-grain'!G41="",'Intermédiaire_Prod-Résultats'!AB38,'Maïs-grain'!G41)</f>
        <v>51.08</v>
      </c>
      <c r="AE38" s="3">
        <f>Soya!E41</f>
        <v>31.83</v>
      </c>
      <c r="AF38" s="3">
        <f>IF(Soya!G41="",'Intermédiaire_Prod-Résultats'!AE38,Soya!G41)</f>
        <v>31.83</v>
      </c>
      <c r="AH38" s="3">
        <f>Orge!E41</f>
        <v>23.5</v>
      </c>
      <c r="AI38" s="3">
        <f>IF(Orge!G41="",'Intermédiaire_Prod-Résultats'!AH38,Orge!G41)</f>
        <v>23.5</v>
      </c>
      <c r="AK38" s="3">
        <f>Avoine!E41</f>
        <v>26.26</v>
      </c>
      <c r="AL38" s="3">
        <f>IF(Avoine!G41="",'Intermédiaire_Prod-Résultats'!AK38,Avoine!G41)</f>
        <v>26.26</v>
      </c>
      <c r="AN38" s="3">
        <f>'Blé_d''automne'!E41</f>
        <v>18.28</v>
      </c>
      <c r="AO38" s="3">
        <f>IF('Blé_d''automne'!G41="",'Intermédiaire_Prod-Résultats'!AN38,'Blé_d''automne'!G41)</f>
        <v>18.28</v>
      </c>
      <c r="AQ38" s="3">
        <f>Blé_printemps!E41</f>
        <v>18.28</v>
      </c>
      <c r="AR38" s="3">
        <f>IF(Blé_printemps!G41="",'Intermédiaire_Prod-Résultats'!AQ38,Blé_printemps!G41)</f>
        <v>18.28</v>
      </c>
      <c r="AT38" s="3">
        <f>Seigle!E41</f>
        <v>0</v>
      </c>
      <c r="AU38" s="3">
        <f>IF(Seigle!G41="",'Intermédiaire_Prod-Résultats'!AT38,Seigle!G41)</f>
        <v>0</v>
      </c>
      <c r="AW38" s="3">
        <f>Seigle_hybride!E41</f>
        <v>0</v>
      </c>
      <c r="AX38" s="3">
        <f>IF(Seigle_hybride!G41="",'Intermédiaire_Prod-Résultats'!AW38,Seigle_hybride!G41)</f>
        <v>0</v>
      </c>
      <c r="AY38" s="51"/>
      <c r="AZ38" s="41">
        <f>'Maïs-grain'!E41</f>
        <v>51.08</v>
      </c>
      <c r="BA38" s="3">
        <f>IF('Maïs-grain'!G41="",'Intermédiaire_Prod-Résultats'!AZ38,'Maïs-grain'!G41)</f>
        <v>51.08</v>
      </c>
      <c r="BC38" s="3">
        <f>Soya!E41</f>
        <v>31.83</v>
      </c>
      <c r="BD38" s="3">
        <f>IF(Soya!G41="",'Intermédiaire_Prod-Résultats'!BC38,Soya!G41)</f>
        <v>31.83</v>
      </c>
      <c r="BF38" s="3">
        <f>Orge!E41</f>
        <v>23.5</v>
      </c>
      <c r="BG38" s="3">
        <f>IF(Orge!G41="",'Intermédiaire_Prod-Résultats'!BF38,Orge!G41)</f>
        <v>23.5</v>
      </c>
      <c r="BI38" s="3">
        <f>Avoine!E41</f>
        <v>26.26</v>
      </c>
      <c r="BJ38" s="3">
        <f>IF(Avoine!G41="",'Intermédiaire_Prod-Résultats'!BI38,Avoine!G41)</f>
        <v>26.26</v>
      </c>
      <c r="BL38" s="3">
        <f>'Blé_d''automne'!E41</f>
        <v>18.28</v>
      </c>
      <c r="BM38" s="3">
        <f>IF('Blé_d''automne'!G41="",'Intermédiaire_Prod-Résultats'!BL38,'Blé_d''automne'!G41)</f>
        <v>18.28</v>
      </c>
      <c r="BO38" s="3">
        <f>Blé_printemps!E41</f>
        <v>18.28</v>
      </c>
      <c r="BP38" s="3">
        <f>IF(Blé_printemps!G41="",'Intermédiaire_Prod-Résultats'!BO38,Blé_printemps!G41)</f>
        <v>18.28</v>
      </c>
      <c r="BR38" s="3">
        <f>Seigle!E41</f>
        <v>0</v>
      </c>
      <c r="BS38" s="3">
        <f>IF(Seigle!G41="",'Intermédiaire_Prod-Résultats'!BR38,Seigle!G41)</f>
        <v>0</v>
      </c>
      <c r="BU38" s="3">
        <f>Seigle_hybride!E41</f>
        <v>0</v>
      </c>
      <c r="BV38" s="3">
        <f>IF(Seigle_hybride!G41="",'Intermédiaire_Prod-Résultats'!BU38,Seigle_hybride!G41)</f>
        <v>0</v>
      </c>
    </row>
    <row r="39" spans="1:74" x14ac:dyDescent="0.25">
      <c r="A39" t="s">
        <v>35</v>
      </c>
      <c r="D39" s="3">
        <f>'Maïs-grain'!E42</f>
        <v>33.29</v>
      </c>
      <c r="E39" s="3">
        <f>IF('Maïs-grain'!G42="",'Intermédiaire_Prod-Résultats'!D39,'Maïs-grain'!G42)</f>
        <v>33.29</v>
      </c>
      <c r="G39" s="3">
        <f>Soya!E42</f>
        <v>27.29</v>
      </c>
      <c r="H39" s="3">
        <f>IF(Soya!G42="",'Intermédiaire_Prod-Résultats'!G39,Soya!G42)</f>
        <v>27.29</v>
      </c>
      <c r="J39" s="3">
        <f>Orge!E42</f>
        <v>16.84</v>
      </c>
      <c r="K39" s="3">
        <f>IF(Orge!G42="",'Intermédiaire_Prod-Résultats'!J39,Orge!G42)</f>
        <v>16.84</v>
      </c>
      <c r="M39" s="3">
        <f>Avoine!E42</f>
        <v>17.66</v>
      </c>
      <c r="N39" s="3">
        <f>IF(Avoine!G42="",'Intermédiaire_Prod-Résultats'!M39,Avoine!G42)</f>
        <v>17.66</v>
      </c>
      <c r="P39" s="3">
        <f>'Blé_d''automne'!E42</f>
        <v>9.1999999999999993</v>
      </c>
      <c r="Q39" s="3">
        <f>IF('Blé_d''automne'!G42="",'Intermédiaire_Prod-Résultats'!P39,'Blé_d''automne'!G42)</f>
        <v>9.1999999999999993</v>
      </c>
      <c r="S39" s="3">
        <f>Blé_printemps!E42</f>
        <v>9.1999999999999993</v>
      </c>
      <c r="T39" s="3">
        <f>IF(Blé_printemps!G42="",'Intermédiaire_Prod-Résultats'!S39,Blé_printemps!G42)</f>
        <v>9.1999999999999993</v>
      </c>
      <c r="V39" s="3">
        <f>Seigle!E42</f>
        <v>0</v>
      </c>
      <c r="W39" s="3">
        <f>IF(Seigle!G42="",'Intermédiaire_Prod-Résultats'!V39,Seigle!G42)</f>
        <v>0</v>
      </c>
      <c r="Y39" s="3">
        <f>Seigle_hybride!E42</f>
        <v>0</v>
      </c>
      <c r="Z39" s="3">
        <f>IF(Seigle_hybride!G42="",'Intermédiaire_Prod-Résultats'!Y39,Seigle_hybride!G42)</f>
        <v>0</v>
      </c>
      <c r="AA39" s="51"/>
      <c r="AB39" s="41">
        <f>'Maïs-grain'!E42</f>
        <v>33.29</v>
      </c>
      <c r="AC39" s="3">
        <f>IF('Maïs-grain'!G42="",'Intermédiaire_Prod-Résultats'!AB39,'Maïs-grain'!G42)</f>
        <v>33.29</v>
      </c>
      <c r="AE39" s="3">
        <f>Soya!E42</f>
        <v>27.29</v>
      </c>
      <c r="AF39" s="3">
        <f>IF(Soya!G42="",'Intermédiaire_Prod-Résultats'!AE39,Soya!G42)</f>
        <v>27.29</v>
      </c>
      <c r="AH39" s="3">
        <f>Orge!E42</f>
        <v>16.84</v>
      </c>
      <c r="AI39" s="3">
        <f>IF(Orge!G42="",'Intermédiaire_Prod-Résultats'!AH39,Orge!G42)</f>
        <v>16.84</v>
      </c>
      <c r="AK39" s="3">
        <f>Avoine!E42</f>
        <v>17.66</v>
      </c>
      <c r="AL39" s="3">
        <f>IF(Avoine!G42="",'Intermédiaire_Prod-Résultats'!AK39,Avoine!G42)</f>
        <v>17.66</v>
      </c>
      <c r="AN39" s="3">
        <f>'Blé_d''automne'!E42</f>
        <v>9.1999999999999993</v>
      </c>
      <c r="AO39" s="3">
        <f>IF('Blé_d''automne'!G42="",'Intermédiaire_Prod-Résultats'!AN39,'Blé_d''automne'!G42)</f>
        <v>9.1999999999999993</v>
      </c>
      <c r="AQ39" s="3">
        <f>Blé_printemps!E42</f>
        <v>9.1999999999999993</v>
      </c>
      <c r="AR39" s="3">
        <f>IF(Blé_printemps!G42="",'Intermédiaire_Prod-Résultats'!AQ39,Blé_printemps!G42)</f>
        <v>9.1999999999999993</v>
      </c>
      <c r="AT39" s="3">
        <f>Seigle!E42</f>
        <v>0</v>
      </c>
      <c r="AU39" s="3">
        <f>IF(Seigle!G42="",'Intermédiaire_Prod-Résultats'!AT39,Seigle!G42)</f>
        <v>0</v>
      </c>
      <c r="AW39" s="3">
        <f>Seigle_hybride!E42</f>
        <v>0</v>
      </c>
      <c r="AX39" s="3">
        <f>IF(Seigle_hybride!G42="",'Intermédiaire_Prod-Résultats'!AW39,Seigle_hybride!G42)</f>
        <v>0</v>
      </c>
      <c r="AY39" s="51"/>
      <c r="AZ39" s="41">
        <f>'Maïs-grain'!E42</f>
        <v>33.29</v>
      </c>
      <c r="BA39" s="3">
        <f>IF('Maïs-grain'!G42="",'Intermédiaire_Prod-Résultats'!AZ39,'Maïs-grain'!G42)</f>
        <v>33.29</v>
      </c>
      <c r="BC39" s="3">
        <f>Soya!E42</f>
        <v>27.29</v>
      </c>
      <c r="BD39" s="3">
        <f>IF(Soya!G42="",'Intermédiaire_Prod-Résultats'!BC39,Soya!G42)</f>
        <v>27.29</v>
      </c>
      <c r="BF39" s="3">
        <f>Orge!E42</f>
        <v>16.84</v>
      </c>
      <c r="BG39" s="3">
        <f>IF(Orge!G42="",'Intermédiaire_Prod-Résultats'!BF39,Orge!G42)</f>
        <v>16.84</v>
      </c>
      <c r="BI39" s="3">
        <f>Avoine!E42</f>
        <v>17.66</v>
      </c>
      <c r="BJ39" s="3">
        <f>IF(Avoine!G42="",'Intermédiaire_Prod-Résultats'!BI39,Avoine!G42)</f>
        <v>17.66</v>
      </c>
      <c r="BL39" s="3">
        <f>'Blé_d''automne'!E42</f>
        <v>9.1999999999999993</v>
      </c>
      <c r="BM39" s="3">
        <f>IF('Blé_d''automne'!G42="",'Intermédiaire_Prod-Résultats'!BL39,'Blé_d''automne'!G42)</f>
        <v>9.1999999999999993</v>
      </c>
      <c r="BO39" s="3">
        <f>Blé_printemps!E42</f>
        <v>9.1999999999999993</v>
      </c>
      <c r="BP39" s="3">
        <f>IF(Blé_printemps!G42="",'Intermédiaire_Prod-Résultats'!BO39,Blé_printemps!G42)</f>
        <v>9.1999999999999993</v>
      </c>
      <c r="BR39" s="3">
        <f>Seigle!E42</f>
        <v>0</v>
      </c>
      <c r="BS39" s="3">
        <f>IF(Seigle!G42="",'Intermédiaire_Prod-Résultats'!BR39,Seigle!G42)</f>
        <v>0</v>
      </c>
      <c r="BU39" s="3">
        <f>Seigle_hybride!E42</f>
        <v>0</v>
      </c>
      <c r="BV39" s="3">
        <f>IF(Seigle_hybride!G42="",'Intermédiaire_Prod-Résultats'!BU39,Seigle_hybride!G42)</f>
        <v>0</v>
      </c>
    </row>
    <row r="40" spans="1:74" x14ac:dyDescent="0.25">
      <c r="A40" t="s">
        <v>36</v>
      </c>
      <c r="D40" s="3">
        <f>'Maïs-grain'!E43</f>
        <v>86.13</v>
      </c>
      <c r="E40" s="3">
        <f>IF('Maïs-grain'!G43="",'Intermédiaire_Prod-Résultats'!D40,'Maïs-grain'!G43)</f>
        <v>86.13</v>
      </c>
      <c r="G40" s="3">
        <f>Soya!E43</f>
        <v>75.48</v>
      </c>
      <c r="H40" s="3">
        <f>IF(Soya!G43="",'Intermédiaire_Prod-Résultats'!G40,Soya!G43)</f>
        <v>75.48</v>
      </c>
      <c r="J40" s="3">
        <f>Orge!E43</f>
        <v>68.2</v>
      </c>
      <c r="K40" s="3">
        <f>IF(Orge!G43="",'Intermédiaire_Prod-Résultats'!J40,Orge!G43)</f>
        <v>68.2</v>
      </c>
      <c r="M40" s="3">
        <f>Avoine!E43</f>
        <v>75.34</v>
      </c>
      <c r="N40" s="3">
        <f>IF(Avoine!G43="",'Intermédiaire_Prod-Résultats'!M40,Avoine!G43)</f>
        <v>75.34</v>
      </c>
      <c r="P40" s="3">
        <f>'Blé_d''automne'!E43</f>
        <v>62.11</v>
      </c>
      <c r="Q40" s="3">
        <f>IF('Blé_d''automne'!G43="",'Intermédiaire_Prod-Résultats'!P40,'Blé_d''automne'!G43)</f>
        <v>62.11</v>
      </c>
      <c r="S40" s="3">
        <f>Blé_printemps!E43</f>
        <v>62.11</v>
      </c>
      <c r="T40" s="3">
        <f>IF(Blé_printemps!G43="",'Intermédiaire_Prod-Résultats'!S40,Blé_printemps!G43)</f>
        <v>62.11</v>
      </c>
      <c r="V40" s="3">
        <f>Seigle!E43</f>
        <v>0</v>
      </c>
      <c r="W40" s="3">
        <f>IF(Seigle!G43="",'Intermédiaire_Prod-Résultats'!V40,Seigle!G43)</f>
        <v>0</v>
      </c>
      <c r="Y40" s="3">
        <f>Seigle_hybride!E43</f>
        <v>0</v>
      </c>
      <c r="Z40" s="3">
        <f>IF(Seigle_hybride!G43="",'Intermédiaire_Prod-Résultats'!Y40,Seigle_hybride!G43)</f>
        <v>0</v>
      </c>
      <c r="AA40" s="51"/>
      <c r="AB40" s="41">
        <f>'Maïs-grain'!E43</f>
        <v>86.13</v>
      </c>
      <c r="AC40" s="3">
        <f>IF('Maïs-grain'!G43="",'Intermédiaire_Prod-Résultats'!AB40,'Maïs-grain'!G43)</f>
        <v>86.13</v>
      </c>
      <c r="AE40" s="3">
        <f>Soya!E43</f>
        <v>75.48</v>
      </c>
      <c r="AF40" s="3">
        <f>IF(Soya!G43="",'Intermédiaire_Prod-Résultats'!AE40,Soya!G43)</f>
        <v>75.48</v>
      </c>
      <c r="AH40" s="3">
        <f>Orge!E43</f>
        <v>68.2</v>
      </c>
      <c r="AI40" s="3">
        <f>IF(Orge!G43="",'Intermédiaire_Prod-Résultats'!AH40,Orge!G43)</f>
        <v>68.2</v>
      </c>
      <c r="AK40" s="3">
        <f>Avoine!E43</f>
        <v>75.34</v>
      </c>
      <c r="AL40" s="3">
        <f>IF(Avoine!G43="",'Intermédiaire_Prod-Résultats'!AK40,Avoine!G43)</f>
        <v>75.34</v>
      </c>
      <c r="AN40" s="3">
        <f>'Blé_d''automne'!E43</f>
        <v>62.11</v>
      </c>
      <c r="AO40" s="3">
        <f>IF('Blé_d''automne'!G43="",'Intermédiaire_Prod-Résultats'!AN40,'Blé_d''automne'!G43)</f>
        <v>62.11</v>
      </c>
      <c r="AQ40" s="3">
        <f>Blé_printemps!E43</f>
        <v>62.11</v>
      </c>
      <c r="AR40" s="3">
        <f>IF(Blé_printemps!G43="",'Intermédiaire_Prod-Résultats'!AQ40,Blé_printemps!G43)</f>
        <v>62.11</v>
      </c>
      <c r="AT40" s="3">
        <f>Seigle!E43</f>
        <v>0</v>
      </c>
      <c r="AU40" s="3">
        <f>IF(Seigle!G43="",'Intermédiaire_Prod-Résultats'!AT40,Seigle!G43)</f>
        <v>0</v>
      </c>
      <c r="AW40" s="3">
        <f>Seigle_hybride!E43</f>
        <v>0</v>
      </c>
      <c r="AX40" s="3">
        <f>IF(Seigle_hybride!G43="",'Intermédiaire_Prod-Résultats'!AW40,Seigle_hybride!G43)</f>
        <v>0</v>
      </c>
      <c r="AY40" s="51"/>
      <c r="AZ40" s="41">
        <f>'Maïs-grain'!E43</f>
        <v>86.13</v>
      </c>
      <c r="BA40" s="3">
        <f>IF('Maïs-grain'!G43="",'Intermédiaire_Prod-Résultats'!AZ40,'Maïs-grain'!G43)</f>
        <v>86.13</v>
      </c>
      <c r="BC40" s="3">
        <f>Soya!E43</f>
        <v>75.48</v>
      </c>
      <c r="BD40" s="3">
        <f>IF(Soya!G43="",'Intermédiaire_Prod-Résultats'!BC40,Soya!G43)</f>
        <v>75.48</v>
      </c>
      <c r="BF40" s="3">
        <f>Orge!E43</f>
        <v>68.2</v>
      </c>
      <c r="BG40" s="3">
        <f>IF(Orge!G43="",'Intermédiaire_Prod-Résultats'!BF40,Orge!G43)</f>
        <v>68.2</v>
      </c>
      <c r="BI40" s="3">
        <f>Avoine!E43</f>
        <v>75.34</v>
      </c>
      <c r="BJ40" s="3">
        <f>IF(Avoine!G43="",'Intermédiaire_Prod-Résultats'!BI40,Avoine!G43)</f>
        <v>75.34</v>
      </c>
      <c r="BL40" s="3">
        <f>'Blé_d''automne'!E43</f>
        <v>62.11</v>
      </c>
      <c r="BM40" s="3">
        <f>IF('Blé_d''automne'!G43="",'Intermédiaire_Prod-Résultats'!BL40,'Blé_d''automne'!G43)</f>
        <v>62.11</v>
      </c>
      <c r="BO40" s="3">
        <f>Blé_printemps!E43</f>
        <v>62.11</v>
      </c>
      <c r="BP40" s="3">
        <f>IF(Blé_printemps!G43="",'Intermédiaire_Prod-Résultats'!BO40,Blé_printemps!G43)</f>
        <v>62.11</v>
      </c>
      <c r="BR40" s="3">
        <f>Seigle!E43</f>
        <v>0</v>
      </c>
      <c r="BS40" s="3">
        <f>IF(Seigle!G43="",'Intermédiaire_Prod-Résultats'!BR40,Seigle!G43)</f>
        <v>0</v>
      </c>
      <c r="BU40" s="3">
        <f>Seigle_hybride!E43</f>
        <v>0</v>
      </c>
      <c r="BV40" s="3">
        <f>IF(Seigle_hybride!G43="",'Intermédiaire_Prod-Résultats'!BU40,Seigle_hybride!G43)</f>
        <v>0</v>
      </c>
    </row>
    <row r="41" spans="1:74" x14ac:dyDescent="0.25">
      <c r="A41" t="s">
        <v>37</v>
      </c>
      <c r="D41" s="3">
        <f>'Maïs-grain'!E44+Saisies!B67</f>
        <v>47.46</v>
      </c>
      <c r="E41" s="3">
        <f>IF('Maïs-grain'!G44="",'Intermédiaire_Prod-Résultats'!D41,'Maïs-grain'!G44)+Saisies!C67</f>
        <v>47.46</v>
      </c>
      <c r="G41" s="3">
        <f>Soya!E44</f>
        <v>30.53</v>
      </c>
      <c r="H41" s="3">
        <f>IF(Soya!G44="",'Intermédiaire_Prod-Résultats'!G41,Soya!G44)</f>
        <v>30.53</v>
      </c>
      <c r="J41" s="3">
        <f>Orge!E44</f>
        <v>40.28</v>
      </c>
      <c r="K41" s="3">
        <f>IF(Orge!G44="",'Intermédiaire_Prod-Résultats'!J41,Orge!G44)</f>
        <v>40.28</v>
      </c>
      <c r="M41" s="3">
        <f>Avoine!E44</f>
        <v>32.119999999999997</v>
      </c>
      <c r="N41" s="3">
        <f>IF(Avoine!G44="",'Intermédiaire_Prod-Résultats'!M41,Avoine!G44)</f>
        <v>32.119999999999997</v>
      </c>
      <c r="P41" s="3">
        <f>'Blé_d''automne'!E44</f>
        <v>32.04</v>
      </c>
      <c r="Q41" s="3">
        <f>IF('Blé_d''automne'!G44="",'Intermédiaire_Prod-Résultats'!P41,'Blé_d''automne'!G44)</f>
        <v>32.04</v>
      </c>
      <c r="S41" s="3">
        <f>Blé_printemps!E44</f>
        <v>32.04</v>
      </c>
      <c r="T41" s="3">
        <f>IF(Blé_printemps!G44="",'Intermédiaire_Prod-Résultats'!S41,Blé_printemps!G44)</f>
        <v>32.04</v>
      </c>
      <c r="V41" s="3">
        <f>Seigle!E44</f>
        <v>63.57</v>
      </c>
      <c r="W41" s="3">
        <f>IF(Seigle!G44="",'Intermédiaire_Prod-Résultats'!V41,Seigle!G44)</f>
        <v>63.57</v>
      </c>
      <c r="Y41" s="3">
        <f>Seigle_hybride!E44</f>
        <v>63.57</v>
      </c>
      <c r="Z41" s="3">
        <f>IF(Seigle_hybride!G44="",'Intermédiaire_Prod-Résultats'!Y41,Seigle_hybride!G44)</f>
        <v>63.57</v>
      </c>
      <c r="AA41" s="51"/>
      <c r="AB41" s="41">
        <f>'Maïs-grain'!E44+Saisies!B67</f>
        <v>47.46</v>
      </c>
      <c r="AC41" s="3">
        <f>IF('Maïs-grain'!G44="",'Intermédiaire_Prod-Résultats'!AB41,'Maïs-grain'!G44)+Saisies!C67</f>
        <v>47.46</v>
      </c>
      <c r="AE41" s="3">
        <f>Soya!E44</f>
        <v>30.53</v>
      </c>
      <c r="AF41" s="3">
        <f>IF(Soya!G44="",'Intermédiaire_Prod-Résultats'!AE41,Soya!G44)</f>
        <v>30.53</v>
      </c>
      <c r="AH41" s="3">
        <f>Orge!E44</f>
        <v>40.28</v>
      </c>
      <c r="AI41" s="3">
        <f>IF(Orge!G44="",'Intermédiaire_Prod-Résultats'!AH41,Orge!G44)</f>
        <v>40.28</v>
      </c>
      <c r="AK41" s="3">
        <f>Avoine!E44</f>
        <v>32.119999999999997</v>
      </c>
      <c r="AL41" s="3">
        <f>IF(Avoine!G44="",'Intermédiaire_Prod-Résultats'!AK41,Avoine!G44)</f>
        <v>32.119999999999997</v>
      </c>
      <c r="AN41" s="3">
        <f>'Blé_d''automne'!E44</f>
        <v>32.04</v>
      </c>
      <c r="AO41" s="3">
        <f>IF('Blé_d''automne'!G44="",'Intermédiaire_Prod-Résultats'!AN41,'Blé_d''automne'!G44)</f>
        <v>32.04</v>
      </c>
      <c r="AQ41" s="3">
        <f>Blé_printemps!E44</f>
        <v>32.04</v>
      </c>
      <c r="AR41" s="3">
        <f>IF(Blé_printemps!G44="",'Intermédiaire_Prod-Résultats'!AQ41,Blé_printemps!G44)</f>
        <v>32.04</v>
      </c>
      <c r="AT41" s="3">
        <f>Seigle!E44</f>
        <v>63.57</v>
      </c>
      <c r="AU41" s="3">
        <f>IF(Seigle!G44="",'Intermédiaire_Prod-Résultats'!AT41,Seigle!G44)</f>
        <v>63.57</v>
      </c>
      <c r="AW41" s="3">
        <f>Seigle_hybride!E44</f>
        <v>63.57</v>
      </c>
      <c r="AX41" s="3">
        <f>IF(Seigle_hybride!G44="",'Intermédiaire_Prod-Résultats'!AW41,Seigle_hybride!G44)</f>
        <v>63.57</v>
      </c>
      <c r="AY41" s="51"/>
      <c r="AZ41" s="41">
        <f>'Maïs-grain'!E44+Saisies!B67</f>
        <v>47.46</v>
      </c>
      <c r="BA41" s="3">
        <f>IF('Maïs-grain'!G44="",'Intermédiaire_Prod-Résultats'!AZ41,'Maïs-grain'!G44)+Saisies!C67</f>
        <v>47.46</v>
      </c>
      <c r="BC41" s="3">
        <f>Soya!E44</f>
        <v>30.53</v>
      </c>
      <c r="BD41" s="3">
        <f>IF(Soya!G44="",'Intermédiaire_Prod-Résultats'!BC41,Soya!G44)</f>
        <v>30.53</v>
      </c>
      <c r="BF41" s="3">
        <f>Orge!E44</f>
        <v>40.28</v>
      </c>
      <c r="BG41" s="3">
        <f>IF(Orge!G44="",'Intermédiaire_Prod-Résultats'!BF41,Orge!G44)</f>
        <v>40.28</v>
      </c>
      <c r="BI41" s="3">
        <f>Avoine!E44</f>
        <v>32.119999999999997</v>
      </c>
      <c r="BJ41" s="3">
        <f>IF(Avoine!G44="",'Intermédiaire_Prod-Résultats'!BI41,Avoine!G44)</f>
        <v>32.119999999999997</v>
      </c>
      <c r="BL41" s="3">
        <f>'Blé_d''automne'!E44</f>
        <v>32.04</v>
      </c>
      <c r="BM41" s="3">
        <f>IF('Blé_d''automne'!G44="",'Intermédiaire_Prod-Résultats'!BL41,'Blé_d''automne'!G44)</f>
        <v>32.04</v>
      </c>
      <c r="BO41" s="3">
        <f>Blé_printemps!E44</f>
        <v>32.04</v>
      </c>
      <c r="BP41" s="3">
        <f>IF(Blé_printemps!G44="",'Intermédiaire_Prod-Résultats'!BO41,Blé_printemps!G44)</f>
        <v>32.04</v>
      </c>
      <c r="BR41" s="3">
        <f>Seigle!E44</f>
        <v>63.57</v>
      </c>
      <c r="BS41" s="3">
        <f>IF(Seigle!G44="",'Intermédiaire_Prod-Résultats'!BR41,Seigle!G44)</f>
        <v>63.57</v>
      </c>
      <c r="BU41" s="3">
        <f>Seigle_hybride!E44</f>
        <v>63.57</v>
      </c>
      <c r="BV41" s="3">
        <f>IF(Seigle_hybride!G44="",'Intermédiaire_Prod-Résultats'!BU41,Seigle_hybride!G44)</f>
        <v>63.57</v>
      </c>
    </row>
    <row r="42" spans="1:74" x14ac:dyDescent="0.25">
      <c r="B42" s="1" t="s">
        <v>28</v>
      </c>
      <c r="D42" s="6">
        <f>SUM(D37:D41)</f>
        <v>247.60999999999999</v>
      </c>
      <c r="E42" s="6">
        <f>SUM(E37:E41)</f>
        <v>247.60999999999999</v>
      </c>
      <c r="G42" s="6">
        <f>SUM(G37:G41)</f>
        <v>182.34</v>
      </c>
      <c r="H42" s="6">
        <f>SUM(H37:H41)</f>
        <v>182.34</v>
      </c>
      <c r="J42" s="6">
        <f>SUM(J37:J41)</f>
        <v>179.12</v>
      </c>
      <c r="K42" s="6">
        <f>SUM(K37:K41)</f>
        <v>179.12</v>
      </c>
      <c r="M42" s="6">
        <f>SUM(M37:M41)</f>
        <v>169.77</v>
      </c>
      <c r="N42" s="6">
        <f>SUM(N37:N41)</f>
        <v>169.77</v>
      </c>
      <c r="P42" s="6">
        <f>SUM(P37:P41)</f>
        <v>126.65</v>
      </c>
      <c r="Q42" s="6">
        <f>SUM(Q37:Q41)</f>
        <v>126.65</v>
      </c>
      <c r="S42" s="6">
        <f>SUM(S37:S41)</f>
        <v>126.65</v>
      </c>
      <c r="T42" s="6">
        <f>SUM(T37:T41)</f>
        <v>126.65</v>
      </c>
      <c r="V42" s="6">
        <f>SUM(V37:V41)</f>
        <v>74.3</v>
      </c>
      <c r="W42" s="6">
        <f>SUM(W37:W41)</f>
        <v>74.3</v>
      </c>
      <c r="Y42" s="6">
        <f>SUM(Y37:Y41)</f>
        <v>74.3</v>
      </c>
      <c r="Z42" s="6">
        <f>SUM(Z37:Z41)</f>
        <v>74.3</v>
      </c>
      <c r="AA42" s="51"/>
      <c r="AB42" s="42">
        <f>SUM(AB37:AB41)</f>
        <v>247.60999999999999</v>
      </c>
      <c r="AC42" s="6">
        <f>SUM(AC37:AC41)</f>
        <v>247.60999999999999</v>
      </c>
      <c r="AE42" s="6">
        <f>SUM(AE37:AE41)</f>
        <v>182.34</v>
      </c>
      <c r="AF42" s="6">
        <f>SUM(AF37:AF41)</f>
        <v>182.34</v>
      </c>
      <c r="AH42" s="6">
        <f>SUM(AH37:AH41)</f>
        <v>179.12</v>
      </c>
      <c r="AI42" s="6">
        <f>SUM(AI37:AI41)</f>
        <v>179.12</v>
      </c>
      <c r="AK42" s="6">
        <f>SUM(AK37:AK41)</f>
        <v>169.77</v>
      </c>
      <c r="AL42" s="6">
        <f>SUM(AL37:AL41)</f>
        <v>169.77</v>
      </c>
      <c r="AN42" s="6">
        <f>SUM(AN37:AN41)</f>
        <v>126.65</v>
      </c>
      <c r="AO42" s="6">
        <f>SUM(AO37:AO41)</f>
        <v>126.65</v>
      </c>
      <c r="AQ42" s="6">
        <f>SUM(AQ37:AQ41)</f>
        <v>126.65</v>
      </c>
      <c r="AR42" s="6">
        <f>SUM(AR37:AR41)</f>
        <v>126.65</v>
      </c>
      <c r="AT42" s="6">
        <f>SUM(AT37:AT41)</f>
        <v>74.3</v>
      </c>
      <c r="AU42" s="6">
        <f>SUM(AU37:AU41)</f>
        <v>74.3</v>
      </c>
      <c r="AW42" s="6">
        <f>SUM(AW37:AW41)</f>
        <v>74.3</v>
      </c>
      <c r="AX42" s="6">
        <f>SUM(AX37:AX41)</f>
        <v>74.3</v>
      </c>
      <c r="AY42" s="51"/>
      <c r="AZ42" s="42">
        <f>SUM(AZ37:AZ41)</f>
        <v>247.60999999999999</v>
      </c>
      <c r="BA42" s="6">
        <f>SUM(BA37:BA41)</f>
        <v>247.60999999999999</v>
      </c>
      <c r="BC42" s="6">
        <f>SUM(BC37:BC41)</f>
        <v>182.34</v>
      </c>
      <c r="BD42" s="6">
        <f>SUM(BD37:BD41)</f>
        <v>182.34</v>
      </c>
      <c r="BF42" s="6">
        <f>SUM(BF37:BF41)</f>
        <v>179.12</v>
      </c>
      <c r="BG42" s="6">
        <f>SUM(BG37:BG41)</f>
        <v>179.12</v>
      </c>
      <c r="BI42" s="6">
        <f>SUM(BI37:BI41)</f>
        <v>169.77</v>
      </c>
      <c r="BJ42" s="6">
        <f>SUM(BJ37:BJ41)</f>
        <v>169.77</v>
      </c>
      <c r="BL42" s="6">
        <f>SUM(BL37:BL41)</f>
        <v>126.65</v>
      </c>
      <c r="BM42" s="6">
        <f>SUM(BM37:BM41)</f>
        <v>126.65</v>
      </c>
      <c r="BO42" s="6">
        <f>SUM(BO37:BO41)</f>
        <v>126.65</v>
      </c>
      <c r="BP42" s="6">
        <f>SUM(BP37:BP41)</f>
        <v>126.65</v>
      </c>
      <c r="BR42" s="6">
        <f>SUM(BR37:BR41)</f>
        <v>74.3</v>
      </c>
      <c r="BS42" s="6">
        <f>SUM(BS37:BS41)</f>
        <v>74.3</v>
      </c>
      <c r="BU42" s="6">
        <f>SUM(BU37:BU41)</f>
        <v>74.3</v>
      </c>
      <c r="BV42" s="6">
        <f>SUM(BV37:BV41)</f>
        <v>74.3</v>
      </c>
    </row>
    <row r="43" spans="1:74" x14ac:dyDescent="0.25">
      <c r="D43" s="3"/>
      <c r="E43" s="3"/>
      <c r="G43" s="3"/>
      <c r="H43" s="3"/>
      <c r="J43" s="3"/>
      <c r="K43" s="3"/>
      <c r="M43" s="3"/>
      <c r="N43" s="3"/>
      <c r="P43" s="3"/>
      <c r="Q43" s="3"/>
      <c r="S43" s="3"/>
      <c r="T43" s="3"/>
      <c r="V43" s="3"/>
      <c r="W43" s="3"/>
      <c r="Y43" s="3"/>
      <c r="Z43" s="3"/>
      <c r="AA43" s="51"/>
      <c r="AB43" s="41"/>
      <c r="AC43" s="3"/>
      <c r="AE43" s="3"/>
      <c r="AF43" s="3"/>
      <c r="AH43" s="3"/>
      <c r="AI43" s="3"/>
      <c r="AK43" s="3"/>
      <c r="AL43" s="3"/>
      <c r="AN43" s="3"/>
      <c r="AO43" s="3"/>
      <c r="AQ43" s="3"/>
      <c r="AR43" s="3"/>
      <c r="AT43" s="3"/>
      <c r="AU43" s="3"/>
      <c r="AW43" s="3"/>
      <c r="AX43" s="3"/>
      <c r="AY43" s="51"/>
      <c r="AZ43" s="41"/>
      <c r="BA43" s="3"/>
      <c r="BC43" s="3"/>
      <c r="BD43" s="3"/>
      <c r="BF43" s="3"/>
      <c r="BG43" s="3"/>
      <c r="BI43" s="3"/>
      <c r="BJ43" s="3"/>
      <c r="BL43" s="3"/>
      <c r="BM43" s="3"/>
      <c r="BO43" s="3"/>
      <c r="BP43" s="3"/>
      <c r="BR43" s="3"/>
      <c r="BS43" s="3"/>
      <c r="BU43" s="3"/>
      <c r="BV43" s="3"/>
    </row>
    <row r="44" spans="1:74" ht="36.950000000000003" customHeight="1" x14ac:dyDescent="0.25">
      <c r="A44" s="94" t="s">
        <v>64</v>
      </c>
      <c r="B44" s="94"/>
      <c r="C44" s="94"/>
      <c r="D44" s="6">
        <f>D34-D42</f>
        <v>1901.5805800000001</v>
      </c>
      <c r="E44" s="6">
        <f>E34-E42</f>
        <v>1901.5805800000001</v>
      </c>
      <c r="G44" s="6">
        <f>G34-G42</f>
        <v>1429.1224400000003</v>
      </c>
      <c r="H44" s="6">
        <f>H34-H42</f>
        <v>1429.1224400000003</v>
      </c>
      <c r="J44" s="6">
        <f>J34-J42</f>
        <v>120.07640000000015</v>
      </c>
      <c r="K44" s="6">
        <f>K34-K42</f>
        <v>120.07640000000015</v>
      </c>
      <c r="M44" s="6">
        <f>M34-M42</f>
        <v>59.551500000000004</v>
      </c>
      <c r="N44" s="6">
        <f>N34-N42</f>
        <v>59.551500000000004</v>
      </c>
      <c r="P44" s="6">
        <f>P34-P42</f>
        <v>867.58709999999951</v>
      </c>
      <c r="Q44" s="6">
        <f>Q34-Q42</f>
        <v>867.58709999999951</v>
      </c>
      <c r="S44" s="6">
        <f>S34-S42</f>
        <v>506.0784000000001</v>
      </c>
      <c r="T44" s="6">
        <f>T34-T42</f>
        <v>506.0784000000001</v>
      </c>
      <c r="V44" s="6">
        <f>V34-V42</f>
        <v>481.24009999999993</v>
      </c>
      <c r="W44" s="6">
        <f>W34-W42</f>
        <v>481.24009999999993</v>
      </c>
      <c r="Y44" s="6">
        <f>Y34-Y42</f>
        <v>1114.0990000000002</v>
      </c>
      <c r="Z44" s="6">
        <f>Z34-Z42</f>
        <v>1114.0990000000002</v>
      </c>
      <c r="AA44" s="51"/>
      <c r="AB44" s="42">
        <f>AB34-AB42</f>
        <v>2171.8791679999999</v>
      </c>
      <c r="AC44" s="6">
        <f>AC34-AC42</f>
        <v>2171.8791679999999</v>
      </c>
      <c r="AE44" s="6">
        <f>AE34-AE42</f>
        <v>1546.2576400000003</v>
      </c>
      <c r="AF44" s="6">
        <f>AF34-AF42</f>
        <v>1546.2576400000003</v>
      </c>
      <c r="AH44" s="6">
        <f>AH34-AH42</f>
        <v>172.11024999999995</v>
      </c>
      <c r="AI44" s="6">
        <f>AI34-AI42</f>
        <v>172.11024999999995</v>
      </c>
      <c r="AK44" s="6">
        <f>AK34-AK42</f>
        <v>99.904669999999982</v>
      </c>
      <c r="AL44" s="6">
        <f>AL34-AL42</f>
        <v>99.904669999999982</v>
      </c>
      <c r="AN44" s="6">
        <f>AN34-AN42</f>
        <v>953.86339999999961</v>
      </c>
      <c r="AO44" s="6">
        <f>AO34-AO42</f>
        <v>953.86339999999961</v>
      </c>
      <c r="AQ44" s="6">
        <f>AQ34-AQ42</f>
        <v>574.05652999999984</v>
      </c>
      <c r="AR44" s="6">
        <f>AR34-AR42</f>
        <v>574.05652999999984</v>
      </c>
      <c r="AT44" s="6">
        <f>AT34-AT42</f>
        <v>529.12310000000002</v>
      </c>
      <c r="AU44" s="6">
        <f>AU34-AU42</f>
        <v>529.12310000000002</v>
      </c>
      <c r="AW44" s="6">
        <f>AW34-AW42</f>
        <v>1196.7420000000002</v>
      </c>
      <c r="AX44" s="6">
        <f>AX34-AX42</f>
        <v>1196.7420000000002</v>
      </c>
      <c r="AY44" s="51"/>
      <c r="AZ44" s="42">
        <f>AZ34-AZ42</f>
        <v>2442.177756000001</v>
      </c>
      <c r="BA44" s="6">
        <f>BA34-BA42</f>
        <v>2442.177756000001</v>
      </c>
      <c r="BC44" s="6">
        <f>BC34-BC42</f>
        <v>1663.3928400000004</v>
      </c>
      <c r="BD44" s="6">
        <f>BD34-BD42</f>
        <v>1663.3928400000004</v>
      </c>
      <c r="BF44" s="6">
        <f>BF34-BF42</f>
        <v>224.14409999999975</v>
      </c>
      <c r="BG44" s="6">
        <f>BG34-BG42</f>
        <v>224.14409999999975</v>
      </c>
      <c r="BI44" s="6">
        <f>BI34-BI42</f>
        <v>140.25783999999985</v>
      </c>
      <c r="BJ44" s="6">
        <f>BJ34-BJ42</f>
        <v>140.25783999999985</v>
      </c>
      <c r="BL44" s="6">
        <f>BL34-BL42</f>
        <v>1040.1396999999997</v>
      </c>
      <c r="BM44" s="6">
        <f>BM34-BM42</f>
        <v>1040.1396999999997</v>
      </c>
      <c r="BO44" s="6">
        <f>BO34-BO42</f>
        <v>642.03466000000003</v>
      </c>
      <c r="BP44" s="6">
        <f>BP34-BP42</f>
        <v>642.03466000000003</v>
      </c>
      <c r="BR44" s="6">
        <f>BR34-BR42</f>
        <v>577.00610000000006</v>
      </c>
      <c r="BS44" s="6">
        <f>BS34-BS42</f>
        <v>577.00610000000006</v>
      </c>
      <c r="BU44" s="6">
        <f>BU34-BU42</f>
        <v>1279.385</v>
      </c>
      <c r="BV44" s="6">
        <f>BV34-BV42</f>
        <v>1279.385</v>
      </c>
    </row>
    <row r="45" spans="1:74" x14ac:dyDescent="0.25">
      <c r="D45" s="3"/>
      <c r="E45" s="3"/>
      <c r="G45" s="3"/>
      <c r="H45" s="3"/>
      <c r="J45" s="3"/>
      <c r="K45" s="3"/>
      <c r="M45" s="3"/>
      <c r="N45" s="3"/>
      <c r="P45" s="3"/>
      <c r="Q45" s="3"/>
      <c r="S45" s="3"/>
      <c r="T45" s="3"/>
      <c r="V45" s="3"/>
      <c r="W45" s="3"/>
      <c r="Y45" s="3"/>
      <c r="Z45" s="3"/>
      <c r="AA45" s="51"/>
      <c r="AB45" s="41"/>
      <c r="AC45" s="3"/>
      <c r="AE45" s="3"/>
      <c r="AF45" s="3"/>
      <c r="AH45" s="3"/>
      <c r="AI45" s="3"/>
      <c r="AK45" s="3"/>
      <c r="AL45" s="3"/>
      <c r="AN45" s="3"/>
      <c r="AO45" s="3"/>
      <c r="AQ45" s="3"/>
      <c r="AR45" s="3"/>
      <c r="AT45" s="3"/>
      <c r="AU45" s="3"/>
      <c r="AW45" s="3"/>
      <c r="AX45" s="3"/>
      <c r="AY45" s="51"/>
      <c r="AZ45" s="41"/>
      <c r="BA45" s="3"/>
      <c r="BC45" s="3"/>
      <c r="BD45" s="3"/>
      <c r="BF45" s="3"/>
      <c r="BG45" s="3"/>
      <c r="BI45" s="3"/>
      <c r="BJ45" s="3"/>
      <c r="BL45" s="3"/>
      <c r="BM45" s="3"/>
      <c r="BO45" s="3"/>
      <c r="BP45" s="3"/>
      <c r="BR45" s="3"/>
      <c r="BS45" s="3"/>
      <c r="BU45" s="3"/>
      <c r="BV45" s="3"/>
    </row>
    <row r="46" spans="1:74" x14ac:dyDescent="0.25">
      <c r="A46" t="s">
        <v>41</v>
      </c>
      <c r="D46" s="3">
        <f>'Maïs-grain'!E50</f>
        <v>257.36</v>
      </c>
      <c r="E46" s="3">
        <f>IF('Maïs-grain'!G50="",'Intermédiaire_Prod-Résultats'!D46,'Maïs-grain'!G50)</f>
        <v>257.36</v>
      </c>
      <c r="G46" s="3">
        <f>Soya!E50</f>
        <v>176.77</v>
      </c>
      <c r="H46" s="3">
        <f>IF(Soya!G50="",'Intermédiaire_Prod-Résultats'!G46,Soya!G50)</f>
        <v>176.77</v>
      </c>
      <c r="J46" s="3">
        <f>Orge!E50</f>
        <v>258.38</v>
      </c>
      <c r="K46" s="3">
        <f>IF(Orge!G50="",'Intermédiaire_Prod-Résultats'!J46,Orge!G50)</f>
        <v>258.38</v>
      </c>
      <c r="M46" s="3">
        <f>Avoine!E50</f>
        <v>187.49</v>
      </c>
      <c r="N46" s="3">
        <f>IF(Avoine!G50="",'Intermédiaire_Prod-Résultats'!M46,Avoine!G50)</f>
        <v>187.49</v>
      </c>
      <c r="P46" s="3">
        <f>'Blé_d''automne'!E50</f>
        <v>150.86000000000001</v>
      </c>
      <c r="Q46" s="3">
        <f>IF('Blé_d''automne'!G50="",'Intermédiaire_Prod-Résultats'!P46,'Blé_d''automne'!G50)</f>
        <v>150.86000000000001</v>
      </c>
      <c r="S46" s="3">
        <f>Blé_printemps!E50</f>
        <v>150.86000000000001</v>
      </c>
      <c r="T46" s="3">
        <f>IF(Blé_printemps!G50="",'Intermédiaire_Prod-Résultats'!S46,Blé_printemps!G50)</f>
        <v>150.86000000000001</v>
      </c>
      <c r="V46" s="3">
        <f>Seigle!E50</f>
        <v>165.93</v>
      </c>
      <c r="W46" s="3">
        <f>IF(Seigle!G50="",'Intermédiaire_Prod-Résultats'!V46,Seigle!G50)</f>
        <v>165.93</v>
      </c>
      <c r="Y46" s="3">
        <f>Seigle_hybride!E50</f>
        <v>165.93</v>
      </c>
      <c r="Z46" s="3">
        <f>IF(Seigle_hybride!G50="",'Intermédiaire_Prod-Résultats'!Y46,Seigle_hybride!G50)</f>
        <v>165.93</v>
      </c>
      <c r="AA46" s="51"/>
      <c r="AB46" s="41">
        <f>'Maïs-grain'!E50</f>
        <v>257.36</v>
      </c>
      <c r="AC46" s="3">
        <f>IF('Maïs-grain'!G50="",'Intermédiaire_Prod-Résultats'!AB46,'Maïs-grain'!G50)</f>
        <v>257.36</v>
      </c>
      <c r="AE46" s="3">
        <f>Soya!E50</f>
        <v>176.77</v>
      </c>
      <c r="AF46" s="3">
        <f>IF(Soya!G50="",'Intermédiaire_Prod-Résultats'!AE46,Soya!G50)</f>
        <v>176.77</v>
      </c>
      <c r="AH46" s="3">
        <f>Orge!E50</f>
        <v>258.38</v>
      </c>
      <c r="AI46" s="3">
        <f>IF(Orge!G50="",'Intermédiaire_Prod-Résultats'!AH46,Orge!G50)</f>
        <v>258.38</v>
      </c>
      <c r="AK46" s="3">
        <f>Avoine!E50</f>
        <v>187.49</v>
      </c>
      <c r="AL46" s="3">
        <f>IF(Avoine!G50="",'Intermédiaire_Prod-Résultats'!AK46,Avoine!G50)</f>
        <v>187.49</v>
      </c>
      <c r="AN46" s="3">
        <f>'Blé_d''automne'!E50</f>
        <v>150.86000000000001</v>
      </c>
      <c r="AO46" s="3">
        <f>IF('Blé_d''automne'!G50="",'Intermédiaire_Prod-Résultats'!AN46,'Blé_d''automne'!G50)</f>
        <v>150.86000000000001</v>
      </c>
      <c r="AQ46" s="3">
        <f>Blé_printemps!E50</f>
        <v>150.86000000000001</v>
      </c>
      <c r="AR46" s="3">
        <f>IF(Blé_printemps!G50="",'Intermédiaire_Prod-Résultats'!AQ46,Blé_printemps!G50)</f>
        <v>150.86000000000001</v>
      </c>
      <c r="AT46" s="3">
        <f>Seigle!E50</f>
        <v>165.93</v>
      </c>
      <c r="AU46" s="3">
        <f>IF(Seigle!G50="",'Intermédiaire_Prod-Résultats'!AT46,Seigle!G50)</f>
        <v>165.93</v>
      </c>
      <c r="AW46" s="3">
        <f>Seigle_hybride!E50</f>
        <v>165.93</v>
      </c>
      <c r="AX46" s="3">
        <f>IF(Seigle_hybride!G50="",'Intermédiaire_Prod-Résultats'!AW46,Seigle_hybride!G50)</f>
        <v>165.93</v>
      </c>
      <c r="AY46" s="51"/>
      <c r="AZ46" s="41">
        <f>'Maïs-grain'!E50</f>
        <v>257.36</v>
      </c>
      <c r="BA46" s="3">
        <f>IF('Maïs-grain'!G50="",'Intermédiaire_Prod-Résultats'!AZ46,'Maïs-grain'!G50)</f>
        <v>257.36</v>
      </c>
      <c r="BC46" s="3">
        <f>Soya!E50</f>
        <v>176.77</v>
      </c>
      <c r="BD46" s="3">
        <f>IF(Soya!G50="",'Intermédiaire_Prod-Résultats'!BC46,Soya!G50)</f>
        <v>176.77</v>
      </c>
      <c r="BF46" s="3">
        <f>Orge!E50</f>
        <v>258.38</v>
      </c>
      <c r="BG46" s="3">
        <f>IF(Orge!G50="",'Intermédiaire_Prod-Résultats'!BF46,Orge!G50)</f>
        <v>258.38</v>
      </c>
      <c r="BI46" s="3">
        <f>Avoine!E50</f>
        <v>187.49</v>
      </c>
      <c r="BJ46" s="3">
        <f>IF(Avoine!G50="",'Intermédiaire_Prod-Résultats'!BI46,Avoine!G50)</f>
        <v>187.49</v>
      </c>
      <c r="BL46" s="3">
        <f>'Blé_d''automne'!E50</f>
        <v>150.86000000000001</v>
      </c>
      <c r="BM46" s="3">
        <f>IF('Blé_d''automne'!G50="",'Intermédiaire_Prod-Résultats'!BL46,'Blé_d''automne'!G50)</f>
        <v>150.86000000000001</v>
      </c>
      <c r="BO46" s="3">
        <f>Blé_printemps!E50</f>
        <v>150.86000000000001</v>
      </c>
      <c r="BP46" s="3">
        <f>IF(Blé_printemps!G50="",'Intermédiaire_Prod-Résultats'!BO46,Blé_printemps!G50)</f>
        <v>150.86000000000001</v>
      </c>
      <c r="BR46" s="3">
        <f>Seigle!E50</f>
        <v>165.93</v>
      </c>
      <c r="BS46" s="3">
        <f>IF(Seigle!G50="",'Intermédiaire_Prod-Résultats'!BR46,Seigle!G50)</f>
        <v>165.93</v>
      </c>
      <c r="BU46" s="3">
        <f>Seigle_hybride!E50</f>
        <v>165.93</v>
      </c>
      <c r="BV46" s="3">
        <f>IF(Seigle_hybride!G50="",'Intermédiaire_Prod-Résultats'!BU46,Seigle_hybride!G50)</f>
        <v>165.93</v>
      </c>
    </row>
    <row r="47" spans="1:74" x14ac:dyDescent="0.25">
      <c r="A47" t="s">
        <v>42</v>
      </c>
      <c r="D47" s="3">
        <f>'Maïs-grain'!E51</f>
        <v>171.29</v>
      </c>
      <c r="E47" s="3">
        <f>IF('Maïs-grain'!G51="",'Intermédiaire_Prod-Résultats'!D47,'Maïs-grain'!G51)</f>
        <v>171.29</v>
      </c>
      <c r="G47" s="3">
        <f>Soya!E51</f>
        <v>165.51</v>
      </c>
      <c r="H47" s="3">
        <f>IF(Soya!G51="",'Intermédiaire_Prod-Résultats'!G47,Soya!G51)</f>
        <v>165.51</v>
      </c>
      <c r="J47" s="3">
        <f>Orge!E51</f>
        <v>183.08</v>
      </c>
      <c r="K47" s="3">
        <f>IF(Orge!G51="",'Intermédiaire_Prod-Résultats'!J47,Orge!G51)</f>
        <v>183.08</v>
      </c>
      <c r="M47" s="3">
        <f>Avoine!E51</f>
        <v>148.4</v>
      </c>
      <c r="N47" s="3">
        <f>IF(Avoine!G51="",'Intermédiaire_Prod-Résultats'!M47,Avoine!G51)</f>
        <v>148.4</v>
      </c>
      <c r="P47" s="3">
        <f>'Blé_d''automne'!E51</f>
        <v>132.33000000000001</v>
      </c>
      <c r="Q47" s="3">
        <f>IF('Blé_d''automne'!G51="",'Intermédiaire_Prod-Résultats'!P47,'Blé_d''automne'!G51)</f>
        <v>132.33000000000001</v>
      </c>
      <c r="S47" s="3">
        <f>Blé_printemps!E51</f>
        <v>132.33000000000001</v>
      </c>
      <c r="T47" s="3">
        <f>IF(Blé_printemps!G51="",'Intermédiaire_Prod-Résultats'!S47,Blé_printemps!G51)</f>
        <v>132.33000000000001</v>
      </c>
      <c r="V47" s="3">
        <f>Seigle!E51</f>
        <v>178.96</v>
      </c>
      <c r="W47" s="3">
        <f>IF(Seigle!G51="",'Intermédiaire_Prod-Résultats'!V47,Seigle!G51)</f>
        <v>178.96</v>
      </c>
      <c r="Y47" s="3">
        <f>Seigle_hybride!E51</f>
        <v>178.96</v>
      </c>
      <c r="Z47" s="3">
        <f>IF(Seigle_hybride!G51="",'Intermédiaire_Prod-Résultats'!Y47,Seigle_hybride!G51)</f>
        <v>178.96</v>
      </c>
      <c r="AA47" s="51"/>
      <c r="AB47" s="41">
        <f>'Maïs-grain'!E51</f>
        <v>171.29</v>
      </c>
      <c r="AC47" s="3">
        <f>IF('Maïs-grain'!G51="",'Intermédiaire_Prod-Résultats'!AB47,'Maïs-grain'!G51)</f>
        <v>171.29</v>
      </c>
      <c r="AE47" s="3">
        <f>Soya!E51</f>
        <v>165.51</v>
      </c>
      <c r="AF47" s="3">
        <f>IF(Soya!G51="",'Intermédiaire_Prod-Résultats'!AE47,Soya!G51)</f>
        <v>165.51</v>
      </c>
      <c r="AH47" s="3">
        <f>Orge!E51</f>
        <v>183.08</v>
      </c>
      <c r="AI47" s="3">
        <f>IF(Orge!G51="",'Intermédiaire_Prod-Résultats'!AH47,Orge!G51)</f>
        <v>183.08</v>
      </c>
      <c r="AK47" s="3">
        <f>Avoine!E51</f>
        <v>148.4</v>
      </c>
      <c r="AL47" s="3">
        <f>IF(Avoine!G51="",'Intermédiaire_Prod-Résultats'!AK47,Avoine!G51)</f>
        <v>148.4</v>
      </c>
      <c r="AN47" s="3">
        <f>'Blé_d''automne'!E51</f>
        <v>132.33000000000001</v>
      </c>
      <c r="AO47" s="3">
        <f>IF('Blé_d''automne'!G51="",'Intermédiaire_Prod-Résultats'!AN47,'Blé_d''automne'!G51)</f>
        <v>132.33000000000001</v>
      </c>
      <c r="AQ47" s="3">
        <f>Blé_printemps!E51</f>
        <v>132.33000000000001</v>
      </c>
      <c r="AR47" s="3">
        <f>IF(Blé_printemps!G51="",'Intermédiaire_Prod-Résultats'!AQ47,Blé_printemps!G51)</f>
        <v>132.33000000000001</v>
      </c>
      <c r="AT47" s="3">
        <f>Seigle!E51</f>
        <v>178.96</v>
      </c>
      <c r="AU47" s="3">
        <f>IF(Seigle!G51="",'Intermédiaire_Prod-Résultats'!AT47,Seigle!G51)</f>
        <v>178.96</v>
      </c>
      <c r="AW47" s="3">
        <f>Seigle_hybride!E51</f>
        <v>178.96</v>
      </c>
      <c r="AX47" s="3">
        <f>IF(Seigle_hybride!G51="",'Intermédiaire_Prod-Résultats'!AW47,Seigle_hybride!G51)</f>
        <v>178.96</v>
      </c>
      <c r="AY47" s="51"/>
      <c r="AZ47" s="41">
        <f>'Maïs-grain'!E51</f>
        <v>171.29</v>
      </c>
      <c r="BA47" s="3">
        <f>IF('Maïs-grain'!G51="",'Intermédiaire_Prod-Résultats'!AZ47,'Maïs-grain'!G51)</f>
        <v>171.29</v>
      </c>
      <c r="BC47" s="3">
        <f>Soya!E51</f>
        <v>165.51</v>
      </c>
      <c r="BD47" s="3">
        <f>IF(Soya!G51="",'Intermédiaire_Prod-Résultats'!BC47,Soya!G51)</f>
        <v>165.51</v>
      </c>
      <c r="BF47" s="3">
        <f>Orge!E51</f>
        <v>183.08</v>
      </c>
      <c r="BG47" s="3">
        <f>IF(Orge!G51="",'Intermédiaire_Prod-Résultats'!BF47,Orge!G51)</f>
        <v>183.08</v>
      </c>
      <c r="BI47" s="3">
        <f>Avoine!E51</f>
        <v>148.4</v>
      </c>
      <c r="BJ47" s="3">
        <f>IF(Avoine!G51="",'Intermédiaire_Prod-Résultats'!BI47,Avoine!G51)</f>
        <v>148.4</v>
      </c>
      <c r="BL47" s="3">
        <f>'Blé_d''automne'!E51</f>
        <v>132.33000000000001</v>
      </c>
      <c r="BM47" s="3">
        <f>IF('Blé_d''automne'!G51="",'Intermédiaire_Prod-Résultats'!BL47,'Blé_d''automne'!G51)</f>
        <v>132.33000000000001</v>
      </c>
      <c r="BO47" s="3">
        <f>Blé_printemps!E51</f>
        <v>132.33000000000001</v>
      </c>
      <c r="BP47" s="3">
        <f>IF(Blé_printemps!G51="",'Intermédiaire_Prod-Résultats'!BO47,Blé_printemps!G51)</f>
        <v>132.33000000000001</v>
      </c>
      <c r="BR47" s="3">
        <f>Seigle!E51</f>
        <v>178.96</v>
      </c>
      <c r="BS47" s="3">
        <f>IF(Seigle!G51="",'Intermédiaire_Prod-Résultats'!BR47,Seigle!G51)</f>
        <v>178.96</v>
      </c>
      <c r="BU47" s="3">
        <f>Seigle_hybride!E51</f>
        <v>178.96</v>
      </c>
      <c r="BV47" s="3">
        <f>IF(Seigle_hybride!G51="",'Intermédiaire_Prod-Résultats'!BU47,Seigle_hybride!G51)</f>
        <v>178.96</v>
      </c>
    </row>
    <row r="48" spans="1:74" x14ac:dyDescent="0.25">
      <c r="A48" t="s">
        <v>43</v>
      </c>
      <c r="D48" s="3">
        <f>'Maïs-grain'!E52</f>
        <v>149.86000000000001</v>
      </c>
      <c r="E48" s="3">
        <f>IF('Maïs-grain'!G52="",'Intermédiaire_Prod-Résultats'!D48,'Maïs-grain'!G52)</f>
        <v>149.86000000000001</v>
      </c>
      <c r="G48" s="3">
        <f>Soya!E52</f>
        <v>114.21</v>
      </c>
      <c r="H48" s="3">
        <f>IF(Soya!G52="",'Intermédiaire_Prod-Résultats'!G48,Soya!G52)</f>
        <v>114.21</v>
      </c>
      <c r="J48" s="3">
        <f>Orge!E52</f>
        <v>30.61</v>
      </c>
      <c r="K48" s="3">
        <f>IF(Orge!G52="",'Intermédiaire_Prod-Résultats'!J48,Orge!G52)</f>
        <v>30.61</v>
      </c>
      <c r="M48" s="3">
        <f>Avoine!E52</f>
        <v>47.27</v>
      </c>
      <c r="N48" s="3">
        <f>IF(Avoine!G52="",'Intermédiaire_Prod-Résultats'!M48,Avoine!G52)</f>
        <v>47.27</v>
      </c>
      <c r="P48" s="3">
        <f>'Blé_d''automne'!E52</f>
        <v>9.57</v>
      </c>
      <c r="Q48" s="3">
        <f>IF('Blé_d''automne'!G52="",'Intermédiaire_Prod-Résultats'!P48,'Blé_d''automne'!G52)</f>
        <v>9.57</v>
      </c>
      <c r="S48" s="3">
        <f>Blé_printemps!E52</f>
        <v>9.57</v>
      </c>
      <c r="T48" s="3">
        <f>IF(Blé_printemps!G52="",'Intermédiaire_Prod-Résultats'!S48,Blé_printemps!G52)</f>
        <v>9.57</v>
      </c>
      <c r="V48" s="3">
        <f>Seigle!E52</f>
        <v>29.26</v>
      </c>
      <c r="W48" s="3">
        <f>IF(Seigle!G52="",'Intermédiaire_Prod-Résultats'!V48,Seigle!G52)</f>
        <v>29.26</v>
      </c>
      <c r="Y48" s="3">
        <f>Seigle_hybride!E52</f>
        <v>29.26</v>
      </c>
      <c r="Z48" s="3">
        <f>IF(Seigle_hybride!G52="",'Intermédiaire_Prod-Résultats'!Y48,Seigle_hybride!G52)</f>
        <v>29.26</v>
      </c>
      <c r="AA48" s="51"/>
      <c r="AB48" s="41">
        <f>'Maïs-grain'!E52</f>
        <v>149.86000000000001</v>
      </c>
      <c r="AC48" s="3">
        <f>IF('Maïs-grain'!G52="",'Intermédiaire_Prod-Résultats'!AB48,'Maïs-grain'!G52)</f>
        <v>149.86000000000001</v>
      </c>
      <c r="AE48" s="3">
        <f>Soya!E52</f>
        <v>114.21</v>
      </c>
      <c r="AF48" s="3">
        <f>IF(Soya!G52="",'Intermédiaire_Prod-Résultats'!AE48,Soya!G52)</f>
        <v>114.21</v>
      </c>
      <c r="AH48" s="3">
        <f>Orge!E52</f>
        <v>30.61</v>
      </c>
      <c r="AI48" s="3">
        <f>IF(Orge!G52="",'Intermédiaire_Prod-Résultats'!AH48,Orge!G52)</f>
        <v>30.61</v>
      </c>
      <c r="AK48" s="3">
        <f>Avoine!E52</f>
        <v>47.27</v>
      </c>
      <c r="AL48" s="3">
        <f>IF(Avoine!G52="",'Intermédiaire_Prod-Résultats'!AK48,Avoine!G52)</f>
        <v>47.27</v>
      </c>
      <c r="AN48" s="3">
        <f>'Blé_d''automne'!E52</f>
        <v>9.57</v>
      </c>
      <c r="AO48" s="3">
        <f>IF('Blé_d''automne'!G52="",'Intermédiaire_Prod-Résultats'!AN48,'Blé_d''automne'!G52)</f>
        <v>9.57</v>
      </c>
      <c r="AQ48" s="3">
        <f>Blé_printemps!E52</f>
        <v>9.57</v>
      </c>
      <c r="AR48" s="3">
        <f>IF(Blé_printemps!G52="",'Intermédiaire_Prod-Résultats'!AQ48,Blé_printemps!G52)</f>
        <v>9.57</v>
      </c>
      <c r="AT48" s="3">
        <f>Seigle!E52</f>
        <v>29.26</v>
      </c>
      <c r="AU48" s="3">
        <f>IF(Seigle!G52="",'Intermédiaire_Prod-Résultats'!AT48,Seigle!G52)</f>
        <v>29.26</v>
      </c>
      <c r="AW48" s="3">
        <f>Seigle_hybride!E52</f>
        <v>29.26</v>
      </c>
      <c r="AX48" s="3">
        <f>IF(Seigle_hybride!G52="",'Intermédiaire_Prod-Résultats'!AW48,Seigle_hybride!G52)</f>
        <v>29.26</v>
      </c>
      <c r="AY48" s="51"/>
      <c r="AZ48" s="41">
        <f>'Maïs-grain'!E52</f>
        <v>149.86000000000001</v>
      </c>
      <c r="BA48" s="3">
        <f>IF('Maïs-grain'!G52="",'Intermédiaire_Prod-Résultats'!AZ48,'Maïs-grain'!G52)</f>
        <v>149.86000000000001</v>
      </c>
      <c r="BC48" s="3">
        <f>Soya!E52</f>
        <v>114.21</v>
      </c>
      <c r="BD48" s="3">
        <f>IF(Soya!G52="",'Intermédiaire_Prod-Résultats'!BC48,Soya!G52)</f>
        <v>114.21</v>
      </c>
      <c r="BF48" s="3">
        <f>Orge!E52</f>
        <v>30.61</v>
      </c>
      <c r="BG48" s="3">
        <f>IF(Orge!G52="",'Intermédiaire_Prod-Résultats'!BF48,Orge!G52)</f>
        <v>30.61</v>
      </c>
      <c r="BI48" s="3">
        <f>Avoine!E52</f>
        <v>47.27</v>
      </c>
      <c r="BJ48" s="3">
        <f>IF(Avoine!G52="",'Intermédiaire_Prod-Résultats'!BI48,Avoine!G52)</f>
        <v>47.27</v>
      </c>
      <c r="BL48" s="3">
        <f>'Blé_d''automne'!E52</f>
        <v>9.57</v>
      </c>
      <c r="BM48" s="3">
        <f>IF('Blé_d''automne'!G52="",'Intermédiaire_Prod-Résultats'!BL48,'Blé_d''automne'!G52)</f>
        <v>9.57</v>
      </c>
      <c r="BO48" s="3">
        <f>Blé_printemps!E52</f>
        <v>9.57</v>
      </c>
      <c r="BP48" s="3">
        <f>IF(Blé_printemps!G52="",'Intermédiaire_Prod-Résultats'!BO48,Blé_printemps!G52)</f>
        <v>9.57</v>
      </c>
      <c r="BR48" s="3">
        <f>Seigle!E52</f>
        <v>29.26</v>
      </c>
      <c r="BS48" s="3">
        <f>IF(Seigle!G52="",'Intermédiaire_Prod-Résultats'!BR48,Seigle!G52)</f>
        <v>29.26</v>
      </c>
      <c r="BU48" s="3">
        <f>Seigle_hybride!E52</f>
        <v>29.26</v>
      </c>
      <c r="BV48" s="3">
        <f>IF(Seigle_hybride!G52="",'Intermédiaire_Prod-Résultats'!BU48,Seigle_hybride!G52)</f>
        <v>29.26</v>
      </c>
    </row>
    <row r="49" spans="1:74" x14ac:dyDescent="0.25">
      <c r="B49" s="1" t="s">
        <v>28</v>
      </c>
      <c r="D49" s="4">
        <f>SUM(D46:D48)</f>
        <v>578.51</v>
      </c>
      <c r="E49" s="4">
        <f>SUM(E46:E48)</f>
        <v>578.51</v>
      </c>
      <c r="G49" s="4">
        <f>SUM(G46:G48)</f>
        <v>456.48999999999995</v>
      </c>
      <c r="H49" s="4">
        <f>SUM(H46:H48)</f>
        <v>456.48999999999995</v>
      </c>
      <c r="J49" s="4">
        <f>SUM(J46:J48)</f>
        <v>472.07000000000005</v>
      </c>
      <c r="K49" s="4">
        <f>SUM(K46:K48)</f>
        <v>472.07000000000005</v>
      </c>
      <c r="M49" s="4">
        <f>SUM(M46:M48)</f>
        <v>383.15999999999997</v>
      </c>
      <c r="N49" s="4">
        <f>SUM(N46:N48)</f>
        <v>383.15999999999997</v>
      </c>
      <c r="P49" s="4">
        <f>SUM(P46:P48)</f>
        <v>292.76000000000005</v>
      </c>
      <c r="Q49" s="4">
        <f>SUM(Q46:Q48)</f>
        <v>292.76000000000005</v>
      </c>
      <c r="S49" s="4">
        <f>SUM(S46:S48)</f>
        <v>292.76000000000005</v>
      </c>
      <c r="T49" s="4">
        <f>SUM(T46:T48)</f>
        <v>292.76000000000005</v>
      </c>
      <c r="V49" s="4">
        <f>SUM(V46:V48)</f>
        <v>374.15</v>
      </c>
      <c r="W49" s="4">
        <f>SUM(W46:W48)</f>
        <v>374.15</v>
      </c>
      <c r="Y49" s="4">
        <f>SUM(Y46:Y48)</f>
        <v>374.15</v>
      </c>
      <c r="Z49" s="4">
        <f>SUM(Z46:Z48)</f>
        <v>374.15</v>
      </c>
      <c r="AA49" s="51"/>
      <c r="AB49" s="43">
        <f>SUM(AB46:AB48)</f>
        <v>578.51</v>
      </c>
      <c r="AC49" s="4">
        <f>SUM(AC46:AC48)</f>
        <v>578.51</v>
      </c>
      <c r="AE49" s="4">
        <f>SUM(AE46:AE48)</f>
        <v>456.48999999999995</v>
      </c>
      <c r="AF49" s="4">
        <f>SUM(AF46:AF48)</f>
        <v>456.48999999999995</v>
      </c>
      <c r="AH49" s="4">
        <f>SUM(AH46:AH48)</f>
        <v>472.07000000000005</v>
      </c>
      <c r="AI49" s="4">
        <f>SUM(AI46:AI48)</f>
        <v>472.07000000000005</v>
      </c>
      <c r="AK49" s="4">
        <f>SUM(AK46:AK48)</f>
        <v>383.15999999999997</v>
      </c>
      <c r="AL49" s="4">
        <f>SUM(AL46:AL48)</f>
        <v>383.15999999999997</v>
      </c>
      <c r="AN49" s="4">
        <f>SUM(AN46:AN48)</f>
        <v>292.76000000000005</v>
      </c>
      <c r="AO49" s="4">
        <f>SUM(AO46:AO48)</f>
        <v>292.76000000000005</v>
      </c>
      <c r="AQ49" s="4">
        <f>SUM(AQ46:AQ48)</f>
        <v>292.76000000000005</v>
      </c>
      <c r="AR49" s="4">
        <f>SUM(AR46:AR48)</f>
        <v>292.76000000000005</v>
      </c>
      <c r="AT49" s="4">
        <f>SUM(AT46:AT48)</f>
        <v>374.15</v>
      </c>
      <c r="AU49" s="4">
        <f>SUM(AU46:AU48)</f>
        <v>374.15</v>
      </c>
      <c r="AW49" s="4">
        <f>SUM(AW46:AW48)</f>
        <v>374.15</v>
      </c>
      <c r="AX49" s="4">
        <f>SUM(AX46:AX48)</f>
        <v>374.15</v>
      </c>
      <c r="AY49" s="51"/>
      <c r="AZ49" s="43">
        <f>SUM(AZ46:AZ48)</f>
        <v>578.51</v>
      </c>
      <c r="BA49" s="4">
        <f>SUM(BA46:BA48)</f>
        <v>578.51</v>
      </c>
      <c r="BC49" s="4">
        <f>SUM(BC46:BC48)</f>
        <v>456.48999999999995</v>
      </c>
      <c r="BD49" s="4">
        <f>SUM(BD46:BD48)</f>
        <v>456.48999999999995</v>
      </c>
      <c r="BF49" s="4">
        <f>SUM(BF46:BF48)</f>
        <v>472.07000000000005</v>
      </c>
      <c r="BG49" s="4">
        <f>SUM(BG46:BG48)</f>
        <v>472.07000000000005</v>
      </c>
      <c r="BI49" s="4">
        <f>SUM(BI46:BI48)</f>
        <v>383.15999999999997</v>
      </c>
      <c r="BJ49" s="4">
        <f>SUM(BJ46:BJ48)</f>
        <v>383.15999999999997</v>
      </c>
      <c r="BL49" s="4">
        <f>SUM(BL46:BL48)</f>
        <v>292.76000000000005</v>
      </c>
      <c r="BM49" s="4">
        <f>SUM(BM46:BM48)</f>
        <v>292.76000000000005</v>
      </c>
      <c r="BO49" s="4">
        <f>SUM(BO46:BO48)</f>
        <v>292.76000000000005</v>
      </c>
      <c r="BP49" s="4">
        <f>SUM(BP46:BP48)</f>
        <v>292.76000000000005</v>
      </c>
      <c r="BR49" s="4">
        <f>SUM(BR46:BR48)</f>
        <v>374.15</v>
      </c>
      <c r="BS49" s="4">
        <f>SUM(BS46:BS48)</f>
        <v>374.15</v>
      </c>
      <c r="BU49" s="4">
        <f>SUM(BU46:BU48)</f>
        <v>374.15</v>
      </c>
      <c r="BV49" s="4">
        <f>SUM(BV46:BV48)</f>
        <v>374.15</v>
      </c>
    </row>
    <row r="50" spans="1:74" x14ac:dyDescent="0.25">
      <c r="D50" s="3"/>
      <c r="E50" s="3"/>
      <c r="G50" s="3"/>
      <c r="H50" s="3"/>
      <c r="J50" s="3"/>
      <c r="K50" s="3"/>
      <c r="M50" s="3"/>
      <c r="N50" s="3"/>
      <c r="P50" s="3"/>
      <c r="Q50" s="3"/>
      <c r="S50" s="3"/>
      <c r="T50" s="3"/>
      <c r="V50" s="3"/>
      <c r="W50" s="3"/>
      <c r="Y50" s="3"/>
      <c r="Z50" s="3"/>
      <c r="AA50" s="51"/>
      <c r="AB50" s="41"/>
      <c r="AC50" s="3"/>
      <c r="AE50" s="3"/>
      <c r="AF50" s="3"/>
      <c r="AH50" s="3"/>
      <c r="AI50" s="3"/>
      <c r="AK50" s="3"/>
      <c r="AL50" s="3"/>
      <c r="AN50" s="3"/>
      <c r="AO50" s="3"/>
      <c r="AQ50" s="3"/>
      <c r="AR50" s="3"/>
      <c r="AT50" s="3"/>
      <c r="AU50" s="3"/>
      <c r="AW50" s="3"/>
      <c r="AX50" s="3"/>
      <c r="AY50" s="51"/>
      <c r="AZ50" s="41"/>
      <c r="BA50" s="3"/>
      <c r="BC50" s="3"/>
      <c r="BD50" s="3"/>
      <c r="BF50" s="3"/>
      <c r="BG50" s="3"/>
      <c r="BI50" s="3"/>
      <c r="BJ50" s="3"/>
      <c r="BL50" s="3"/>
      <c r="BM50" s="3"/>
      <c r="BO50" s="3"/>
      <c r="BP50" s="3"/>
      <c r="BR50" s="3"/>
      <c r="BS50" s="3"/>
      <c r="BU50" s="3"/>
      <c r="BV50" s="3"/>
    </row>
    <row r="51" spans="1:74" ht="44.1" customHeight="1" thickBot="1" x14ac:dyDescent="0.3">
      <c r="A51" s="94" t="s">
        <v>184</v>
      </c>
      <c r="B51" s="94"/>
      <c r="C51" s="94"/>
      <c r="D51" s="9">
        <f>D44-D49</f>
        <v>1323.0705800000001</v>
      </c>
      <c r="E51" s="9">
        <f>E44-E49</f>
        <v>1323.0705800000001</v>
      </c>
      <c r="G51" s="9">
        <f>G44-G49</f>
        <v>972.63244000000032</v>
      </c>
      <c r="H51" s="9">
        <f>H44-H49</f>
        <v>972.63244000000032</v>
      </c>
      <c r="J51" s="9">
        <f>J44-J49</f>
        <v>-351.9935999999999</v>
      </c>
      <c r="K51" s="9">
        <f>K44-K49</f>
        <v>-351.9935999999999</v>
      </c>
      <c r="M51" s="9">
        <f>M44-M49</f>
        <v>-323.60849999999994</v>
      </c>
      <c r="N51" s="9">
        <f>N44-N49</f>
        <v>-323.60849999999994</v>
      </c>
      <c r="P51" s="9">
        <f>P44-P49</f>
        <v>574.82709999999952</v>
      </c>
      <c r="Q51" s="9">
        <f>Q44-Q49</f>
        <v>574.82709999999952</v>
      </c>
      <c r="S51" s="9">
        <f>S44-S49</f>
        <v>213.31840000000005</v>
      </c>
      <c r="T51" s="9">
        <f>T44-T49</f>
        <v>213.31840000000005</v>
      </c>
      <c r="V51" s="9">
        <f>V44-V49</f>
        <v>107.09009999999995</v>
      </c>
      <c r="W51" s="9">
        <f>W44-W49</f>
        <v>107.09009999999995</v>
      </c>
      <c r="Y51" s="9">
        <f>Y44-Y49</f>
        <v>739.94900000000018</v>
      </c>
      <c r="Z51" s="9">
        <f>Z44-Z49</f>
        <v>739.94900000000018</v>
      </c>
      <c r="AA51" s="51"/>
      <c r="AB51" s="44">
        <f>AB44-AB49</f>
        <v>1593.3691679999999</v>
      </c>
      <c r="AC51" s="9">
        <f>AC44-AC49</f>
        <v>1593.3691679999999</v>
      </c>
      <c r="AE51" s="9">
        <f>AE44-AE49</f>
        <v>1089.7676400000003</v>
      </c>
      <c r="AF51" s="9">
        <f>AF44-AF49</f>
        <v>1089.7676400000003</v>
      </c>
      <c r="AH51" s="9">
        <f>AH44-AH49</f>
        <v>-299.9597500000001</v>
      </c>
      <c r="AI51" s="9">
        <f>AI44-AI49</f>
        <v>-299.9597500000001</v>
      </c>
      <c r="AK51" s="9">
        <f>AK44-AK49</f>
        <v>-283.25532999999996</v>
      </c>
      <c r="AL51" s="9">
        <f>AL44-AL49</f>
        <v>-283.25532999999996</v>
      </c>
      <c r="AN51" s="9">
        <f>AN44-AN49</f>
        <v>661.10339999999951</v>
      </c>
      <c r="AO51" s="9">
        <f>AO44-AO49</f>
        <v>661.10339999999951</v>
      </c>
      <c r="AQ51" s="9">
        <f>AQ44-AQ49</f>
        <v>281.29652999999979</v>
      </c>
      <c r="AR51" s="9">
        <f>AR44-AR49</f>
        <v>281.29652999999979</v>
      </c>
      <c r="AT51" s="9">
        <f>AT44-AT49</f>
        <v>154.97310000000004</v>
      </c>
      <c r="AU51" s="9">
        <f>AU44-AU49</f>
        <v>154.97310000000004</v>
      </c>
      <c r="AW51" s="9">
        <f>AW44-AW49</f>
        <v>822.59200000000021</v>
      </c>
      <c r="AX51" s="9">
        <f>AX44-AX49</f>
        <v>822.59200000000021</v>
      </c>
      <c r="AY51" s="51"/>
      <c r="AZ51" s="44">
        <f>AZ44-AZ49</f>
        <v>1863.667756000001</v>
      </c>
      <c r="BA51" s="9">
        <f>BA44-BA49</f>
        <v>1863.667756000001</v>
      </c>
      <c r="BC51" s="9">
        <f>BC44-BC49</f>
        <v>1206.9028400000004</v>
      </c>
      <c r="BD51" s="9">
        <f>BD44-BD49</f>
        <v>1206.9028400000004</v>
      </c>
      <c r="BF51" s="9">
        <f>BF44-BF49</f>
        <v>-247.9259000000003</v>
      </c>
      <c r="BG51" s="9">
        <f>BG44-BG49</f>
        <v>-247.9259000000003</v>
      </c>
      <c r="BI51" s="9">
        <f>BI44-BI49</f>
        <v>-242.90216000000012</v>
      </c>
      <c r="BJ51" s="9">
        <f>BJ44-BJ49</f>
        <v>-242.90216000000012</v>
      </c>
      <c r="BL51" s="9">
        <f>BL44-BL49</f>
        <v>747.37969999999973</v>
      </c>
      <c r="BM51" s="9">
        <f>BM44-BM49</f>
        <v>747.37969999999973</v>
      </c>
      <c r="BO51" s="9">
        <f>BO44-BO49</f>
        <v>349.27465999999998</v>
      </c>
      <c r="BP51" s="9">
        <f>BP44-BP49</f>
        <v>349.27465999999998</v>
      </c>
      <c r="BR51" s="9">
        <f>BR44-BR49</f>
        <v>202.85610000000008</v>
      </c>
      <c r="BS51" s="9">
        <f>BS44-BS49</f>
        <v>202.85610000000008</v>
      </c>
      <c r="BU51" s="9">
        <f>BU44-BU49</f>
        <v>905.23500000000001</v>
      </c>
      <c r="BV51" s="9">
        <f>BV44-BV49</f>
        <v>905.23500000000001</v>
      </c>
    </row>
    <row r="52" spans="1:74" ht="15.75" thickTop="1" x14ac:dyDescent="0.25"/>
  </sheetData>
  <mergeCells count="6">
    <mergeCell ref="AZ1:BP1"/>
    <mergeCell ref="A34:C34"/>
    <mergeCell ref="A44:C44"/>
    <mergeCell ref="A51:C51"/>
    <mergeCell ref="D1:T1"/>
    <mergeCell ref="AB1:AR1"/>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4772F-7AA7-4AE0-B0DA-59ACDC4AD5A6}">
  <sheetPr>
    <tabColor theme="5" tint="0.79998168889431442"/>
  </sheetPr>
  <dimension ref="A1:Y37"/>
  <sheetViews>
    <sheetView topLeftCell="L1" zoomScale="145" zoomScaleNormal="145" workbookViewId="0">
      <selection activeCell="B3" sqref="B3:D3"/>
    </sheetView>
  </sheetViews>
  <sheetFormatPr baseColWidth="10" defaultColWidth="10.85546875" defaultRowHeight="15" outlineLevelRow="1" x14ac:dyDescent="0.25"/>
  <cols>
    <col min="1" max="1" width="46.140625" customWidth="1"/>
    <col min="2" max="11" width="10.5703125" customWidth="1"/>
    <col min="12" max="12" width="16.42578125" bestFit="1" customWidth="1"/>
    <col min="14" max="14" width="44.5703125" customWidth="1"/>
    <col min="15" max="24" width="10.5703125" customWidth="1"/>
    <col min="25" max="25" width="16.42578125" bestFit="1" customWidth="1"/>
  </cols>
  <sheetData>
    <row r="1" spans="1:25" ht="18.75" x14ac:dyDescent="0.3">
      <c r="A1" s="102" t="s">
        <v>88</v>
      </c>
      <c r="B1" s="102"/>
      <c r="C1" s="102"/>
      <c r="D1" s="102"/>
      <c r="E1" s="102"/>
      <c r="F1" s="102"/>
      <c r="G1" s="102"/>
      <c r="H1" s="102"/>
      <c r="I1" s="102"/>
      <c r="J1" s="102"/>
      <c r="K1" s="102"/>
      <c r="L1" s="102"/>
      <c r="N1" s="99" t="s">
        <v>87</v>
      </c>
      <c r="O1" s="99"/>
      <c r="P1" s="99"/>
      <c r="Q1" s="99"/>
      <c r="R1" s="99"/>
      <c r="S1" s="99"/>
      <c r="T1" s="99"/>
      <c r="U1" s="99"/>
      <c r="V1" s="99"/>
      <c r="W1" s="99"/>
      <c r="X1" s="99"/>
      <c r="Y1" s="99"/>
    </row>
    <row r="2" spans="1:25" ht="15.75" x14ac:dyDescent="0.25">
      <c r="A2" s="103" t="s">
        <v>83</v>
      </c>
      <c r="B2" s="103"/>
      <c r="C2" s="103"/>
      <c r="D2" s="103"/>
      <c r="E2" s="103"/>
      <c r="F2" s="103"/>
      <c r="G2" s="103"/>
      <c r="H2" s="103"/>
      <c r="I2" s="103"/>
      <c r="J2" s="103"/>
      <c r="K2" s="103"/>
      <c r="L2" s="103"/>
      <c r="N2" s="98" t="s">
        <v>83</v>
      </c>
      <c r="O2" s="98"/>
      <c r="P2" s="98"/>
      <c r="Q2" s="98"/>
      <c r="R2" s="98"/>
      <c r="S2" s="98"/>
      <c r="T2" s="98"/>
      <c r="U2" s="98"/>
      <c r="V2" s="98"/>
      <c r="W2" s="98"/>
      <c r="X2" s="98"/>
      <c r="Y2" s="98"/>
    </row>
    <row r="3" spans="1:25" ht="15.75" x14ac:dyDescent="0.25">
      <c r="A3" s="14"/>
      <c r="B3" s="108" t="s">
        <v>172</v>
      </c>
      <c r="C3" s="109"/>
      <c r="D3" s="110"/>
      <c r="E3" s="108" t="s">
        <v>173</v>
      </c>
      <c r="F3" s="109"/>
      <c r="G3" s="110"/>
      <c r="H3" s="108" t="s">
        <v>174</v>
      </c>
      <c r="I3" s="109"/>
      <c r="J3" s="110"/>
      <c r="K3" s="14"/>
      <c r="L3" s="14"/>
      <c r="N3" s="14"/>
      <c r="O3" s="108" t="s">
        <v>172</v>
      </c>
      <c r="P3" s="109"/>
      <c r="Q3" s="110"/>
      <c r="R3" s="108" t="s">
        <v>173</v>
      </c>
      <c r="S3" s="109"/>
      <c r="T3" s="110"/>
      <c r="U3" s="108" t="s">
        <v>174</v>
      </c>
      <c r="V3" s="109"/>
      <c r="W3" s="110"/>
      <c r="X3" s="14"/>
      <c r="Y3" s="14"/>
    </row>
    <row r="4" spans="1:25" x14ac:dyDescent="0.25">
      <c r="A4" s="68" t="s">
        <v>197</v>
      </c>
      <c r="B4" s="23" t="s">
        <v>75</v>
      </c>
      <c r="C4" s="15" t="s">
        <v>76</v>
      </c>
      <c r="D4" s="15" t="s">
        <v>77</v>
      </c>
      <c r="E4" s="15" t="s">
        <v>78</v>
      </c>
      <c r="F4" s="15" t="s">
        <v>79</v>
      </c>
      <c r="G4" s="15" t="s">
        <v>80</v>
      </c>
      <c r="H4" s="45" t="s">
        <v>159</v>
      </c>
      <c r="I4" s="45" t="s">
        <v>160</v>
      </c>
      <c r="J4" s="45" t="s">
        <v>161</v>
      </c>
      <c r="K4" s="45" t="s">
        <v>163</v>
      </c>
      <c r="L4" s="16" t="s">
        <v>84</v>
      </c>
      <c r="N4" s="77" t="s">
        <v>197</v>
      </c>
      <c r="O4" s="23" t="s">
        <v>75</v>
      </c>
      <c r="P4" s="15" t="s">
        <v>76</v>
      </c>
      <c r="Q4" s="15" t="s">
        <v>77</v>
      </c>
      <c r="R4" s="15" t="s">
        <v>78</v>
      </c>
      <c r="S4" s="15" t="s">
        <v>79</v>
      </c>
      <c r="T4" s="15" t="s">
        <v>80</v>
      </c>
      <c r="U4" s="45" t="s">
        <v>159</v>
      </c>
      <c r="V4" s="45" t="s">
        <v>160</v>
      </c>
      <c r="W4" s="45" t="s">
        <v>161</v>
      </c>
      <c r="X4" s="45" t="s">
        <v>163</v>
      </c>
      <c r="Y4" s="16" t="s">
        <v>84</v>
      </c>
    </row>
    <row r="5" spans="1:25" x14ac:dyDescent="0.25">
      <c r="A5" s="21" t="s">
        <v>81</v>
      </c>
      <c r="B5" s="24">
        <f>'Intermédiaire_Prod-Résultats'!$D34</f>
        <v>2149.19058</v>
      </c>
      <c r="C5" s="17">
        <f>'Intermédiaire_Prod-Résultats'!$G34</f>
        <v>1611.4624400000002</v>
      </c>
      <c r="D5" s="17">
        <f>B5</f>
        <v>2149.19058</v>
      </c>
      <c r="E5" s="17">
        <f>C5</f>
        <v>1611.4624400000002</v>
      </c>
      <c r="F5" s="17">
        <f>D5</f>
        <v>2149.19058</v>
      </c>
      <c r="G5" s="17">
        <f>E5</f>
        <v>1611.4624400000002</v>
      </c>
      <c r="H5" s="46">
        <f>B5</f>
        <v>2149.19058</v>
      </c>
      <c r="I5" s="46">
        <f>C5</f>
        <v>1611.4624400000002</v>
      </c>
      <c r="J5" s="47" t="s">
        <v>162</v>
      </c>
      <c r="K5" s="47" t="s">
        <v>162</v>
      </c>
      <c r="L5" s="18">
        <f>AVERAGE(B5:J5)</f>
        <v>1880.3265100000003</v>
      </c>
      <c r="N5" s="21" t="str">
        <f>A5</f>
        <v>MG-SOYA</v>
      </c>
      <c r="O5" s="24">
        <f>'Intermédiaire_Prod-Résultats'!$E34</f>
        <v>2149.19058</v>
      </c>
      <c r="P5" s="17">
        <f>'Intermédiaire_Prod-Résultats'!$H34</f>
        <v>1611.4624400000002</v>
      </c>
      <c r="Q5" s="17">
        <f>O5</f>
        <v>2149.19058</v>
      </c>
      <c r="R5" s="17">
        <f>P5</f>
        <v>1611.4624400000002</v>
      </c>
      <c r="S5" s="17">
        <f>Q5</f>
        <v>2149.19058</v>
      </c>
      <c r="T5" s="17">
        <f>R5</f>
        <v>1611.4624400000002</v>
      </c>
      <c r="U5" s="46">
        <f>O5</f>
        <v>2149.19058</v>
      </c>
      <c r="V5" s="46">
        <f>P5</f>
        <v>1611.4624400000002</v>
      </c>
      <c r="W5" s="47" t="s">
        <v>162</v>
      </c>
      <c r="X5" s="47" t="s">
        <v>162</v>
      </c>
      <c r="Y5" s="18">
        <f t="shared" ref="Y5:Y11" si="0">AVERAGE(O5:W5)</f>
        <v>1880.3265100000003</v>
      </c>
    </row>
    <row r="6" spans="1:25" x14ac:dyDescent="0.25">
      <c r="A6" s="22" t="s">
        <v>181</v>
      </c>
      <c r="B6" s="25">
        <f>'Intermédiaire_Prod-Résultats'!$D34</f>
        <v>2149.19058</v>
      </c>
      <c r="C6" s="19">
        <f>'Intermédiaire_Prod-Résultats'!$G34</f>
        <v>1611.4624400000002</v>
      </c>
      <c r="D6" s="19">
        <f>'Intermédiaire_Prod-Résultats'!$P34</f>
        <v>994.23709999999949</v>
      </c>
      <c r="E6" s="19">
        <f>'Intermédiaire_Prod-Résultats'!$AB34</f>
        <v>2419.4891680000001</v>
      </c>
      <c r="F6" s="19">
        <f>'Intermédiaire_Prod-Résultats'!$AE34</f>
        <v>1728.5976400000002</v>
      </c>
      <c r="G6" s="19">
        <f>'Intermédiaire_Prod-Résultats'!$AN34</f>
        <v>1080.5133999999996</v>
      </c>
      <c r="H6" s="49">
        <f>'Intermédiaire_Prod-Résultats'!$AZ34</f>
        <v>2689.7877560000011</v>
      </c>
      <c r="I6" s="49">
        <f>'Intermédiaire_Prod-Résultats'!$BC34</f>
        <v>1845.7328400000004</v>
      </c>
      <c r="J6" s="49">
        <f>'Intermédiaire_Prod-Résultats'!$BL34</f>
        <v>1166.7896999999998</v>
      </c>
      <c r="K6" s="48" t="s">
        <v>162</v>
      </c>
      <c r="L6" s="20">
        <f t="shared" ref="L6:L11" si="1">AVERAGE(B6:J6)</f>
        <v>1742.8667360000002</v>
      </c>
      <c r="N6" s="21" t="str">
        <f t="shared" ref="N6:N11" si="2">A6</f>
        <v>MG-SOYA-BLÉ D'AUTOMNE PANIFIABLE</v>
      </c>
      <c r="O6" s="25">
        <f>'Intermédiaire_Prod-Résultats'!$E34</f>
        <v>2149.19058</v>
      </c>
      <c r="P6" s="19">
        <f>'Intermédiaire_Prod-Résultats'!$H34</f>
        <v>1611.4624400000002</v>
      </c>
      <c r="Q6" s="19">
        <f>'Intermédiaire_Prod-Résultats'!$Q34</f>
        <v>994.23709999999949</v>
      </c>
      <c r="R6" s="19">
        <f>'Intermédiaire_Prod-Résultats'!$AC34</f>
        <v>2419.4891680000001</v>
      </c>
      <c r="S6" s="19">
        <f>'Intermédiaire_Prod-Résultats'!$AF34</f>
        <v>1728.5976400000002</v>
      </c>
      <c r="T6" s="19">
        <f>'Intermédiaire_Prod-Résultats'!$AO34</f>
        <v>1080.5133999999996</v>
      </c>
      <c r="U6" s="49">
        <f>'Intermédiaire_Prod-Résultats'!$BA34</f>
        <v>2689.7877560000011</v>
      </c>
      <c r="V6" s="49">
        <f>'Intermédiaire_Prod-Résultats'!$BD34</f>
        <v>1845.7328400000004</v>
      </c>
      <c r="W6" s="49">
        <f>'Intermédiaire_Prod-Résultats'!$BM34</f>
        <v>1166.7896999999998</v>
      </c>
      <c r="X6" s="48" t="s">
        <v>162</v>
      </c>
      <c r="Y6" s="20">
        <f t="shared" si="0"/>
        <v>1742.8667360000002</v>
      </c>
    </row>
    <row r="7" spans="1:25" x14ac:dyDescent="0.25">
      <c r="A7" s="22" t="s">
        <v>182</v>
      </c>
      <c r="B7" s="25">
        <f>'Intermédiaire_Prod-Résultats'!$D34</f>
        <v>2149.19058</v>
      </c>
      <c r="C7" s="19">
        <f>'Intermédiaire_Prod-Résultats'!$G34</f>
        <v>1611.4624400000002</v>
      </c>
      <c r="D7" s="19">
        <f>'Intermédiaire_Prod-Résultats'!$S34</f>
        <v>632.72840000000008</v>
      </c>
      <c r="E7" s="19">
        <f>'Intermédiaire_Prod-Résultats'!$AB34</f>
        <v>2419.4891680000001</v>
      </c>
      <c r="F7" s="19">
        <f>'Intermédiaire_Prod-Résultats'!$AE34</f>
        <v>1728.5976400000002</v>
      </c>
      <c r="G7" s="19">
        <f>'Intermédiaire_Prod-Résultats'!$AQ34</f>
        <v>700.70652999999982</v>
      </c>
      <c r="H7" s="49">
        <f>'Intermédiaire_Prod-Résultats'!$AZ34</f>
        <v>2689.7877560000011</v>
      </c>
      <c r="I7" s="49">
        <f>'Intermédiaire_Prod-Résultats'!$BC34</f>
        <v>1845.7328400000004</v>
      </c>
      <c r="J7" s="49">
        <f>'Intermédiaire_Prod-Résultats'!$BO34</f>
        <v>768.68466000000001</v>
      </c>
      <c r="K7" s="48" t="s">
        <v>162</v>
      </c>
      <c r="L7" s="20">
        <f t="shared" si="1"/>
        <v>1616.2644460000004</v>
      </c>
      <c r="N7" s="21" t="str">
        <f t="shared" si="2"/>
        <v>MG-SOYA-BLÉ DE PRINTEMPS PANIFIABLE</v>
      </c>
      <c r="O7" s="25">
        <f>'Intermédiaire_Prod-Résultats'!$E34</f>
        <v>2149.19058</v>
      </c>
      <c r="P7" s="19">
        <f>'Intermédiaire_Prod-Résultats'!$H34</f>
        <v>1611.4624400000002</v>
      </c>
      <c r="Q7" s="19">
        <f>'Intermédiaire_Prod-Résultats'!$T34</f>
        <v>632.72840000000008</v>
      </c>
      <c r="R7" s="19">
        <f>'Intermédiaire_Prod-Résultats'!$AC34</f>
        <v>2419.4891680000001</v>
      </c>
      <c r="S7" s="19">
        <f>'Intermédiaire_Prod-Résultats'!$AF34</f>
        <v>1728.5976400000002</v>
      </c>
      <c r="T7" s="19">
        <f>'Intermédiaire_Prod-Résultats'!$AR34</f>
        <v>700.70652999999982</v>
      </c>
      <c r="U7" s="49">
        <f>'Intermédiaire_Prod-Résultats'!$BA34</f>
        <v>2689.7877560000011</v>
      </c>
      <c r="V7" s="49">
        <f>'Intermédiaire_Prod-Résultats'!$BD34</f>
        <v>1845.7328400000004</v>
      </c>
      <c r="W7" s="49">
        <f>'Intermédiaire_Prod-Résultats'!$BP34</f>
        <v>768.68466000000001</v>
      </c>
      <c r="X7" s="48" t="s">
        <v>162</v>
      </c>
      <c r="Y7" s="20">
        <f t="shared" si="0"/>
        <v>1616.2644460000004</v>
      </c>
    </row>
    <row r="8" spans="1:25" x14ac:dyDescent="0.25">
      <c r="A8" s="22" t="s">
        <v>164</v>
      </c>
      <c r="B8" s="25">
        <f>'Intermédiaire_Prod-Résultats'!D34</f>
        <v>2149.19058</v>
      </c>
      <c r="C8" s="19">
        <f>'Intermédiaire_Prod-Résultats'!G34</f>
        <v>1611.4624400000002</v>
      </c>
      <c r="D8" s="19">
        <f>'Intermédiaire_Prod-Résultats'!J34</f>
        <v>299.19640000000015</v>
      </c>
      <c r="E8" s="19">
        <f>'Intermédiaire_Prod-Résultats'!AB34</f>
        <v>2419.4891680000001</v>
      </c>
      <c r="F8" s="19">
        <f>'Intermédiaire_Prod-Résultats'!AE34</f>
        <v>1728.5976400000002</v>
      </c>
      <c r="G8" s="19">
        <f>'Intermédiaire_Prod-Résultats'!AH34</f>
        <v>351.23024999999996</v>
      </c>
      <c r="H8" s="49">
        <f>'Intermédiaire_Prod-Résultats'!AZ34</f>
        <v>2689.7877560000011</v>
      </c>
      <c r="I8" s="49">
        <f>'Intermédiaire_Prod-Résultats'!BC34</f>
        <v>1845.7328400000004</v>
      </c>
      <c r="J8" s="49">
        <f>'Intermédiaire_Prod-Résultats'!BF34</f>
        <v>403.26409999999976</v>
      </c>
      <c r="K8" s="48" t="s">
        <v>162</v>
      </c>
      <c r="L8" s="20">
        <f t="shared" si="1"/>
        <v>1499.7723526666671</v>
      </c>
      <c r="N8" s="21" t="str">
        <f t="shared" si="2"/>
        <v>MG-SOYA-ORGE</v>
      </c>
      <c r="O8" s="25">
        <f>'Intermédiaire_Prod-Résultats'!E34</f>
        <v>2149.19058</v>
      </c>
      <c r="P8" s="19">
        <f>'Intermédiaire_Prod-Résultats'!H34</f>
        <v>1611.4624400000002</v>
      </c>
      <c r="Q8" s="19">
        <f>'Intermédiaire_Prod-Résultats'!K34</f>
        <v>299.19640000000015</v>
      </c>
      <c r="R8" s="19">
        <f>'Intermédiaire_Prod-Résultats'!AC34</f>
        <v>2419.4891680000001</v>
      </c>
      <c r="S8" s="19">
        <f>'Intermédiaire_Prod-Résultats'!AF34</f>
        <v>1728.5976400000002</v>
      </c>
      <c r="T8" s="19">
        <f>'Intermédiaire_Prod-Résultats'!AI34</f>
        <v>351.23024999999996</v>
      </c>
      <c r="U8" s="49">
        <f>'Intermédiaire_Prod-Résultats'!BA34</f>
        <v>2689.7877560000011</v>
      </c>
      <c r="V8" s="49">
        <f>'Intermédiaire_Prod-Résultats'!BD34</f>
        <v>1845.7328400000004</v>
      </c>
      <c r="W8" s="49">
        <f>'Intermédiaire_Prod-Résultats'!BG34</f>
        <v>403.26409999999976</v>
      </c>
      <c r="X8" s="48" t="s">
        <v>162</v>
      </c>
      <c r="Y8" s="20">
        <f t="shared" si="0"/>
        <v>1499.7723526666671</v>
      </c>
    </row>
    <row r="9" spans="1:25" x14ac:dyDescent="0.25">
      <c r="A9" s="22" t="s">
        <v>165</v>
      </c>
      <c r="B9" s="25">
        <f>'Intermédiaire_Prod-Résultats'!D34</f>
        <v>2149.19058</v>
      </c>
      <c r="C9" s="19">
        <f>'Intermédiaire_Prod-Résultats'!G34</f>
        <v>1611.4624400000002</v>
      </c>
      <c r="D9" s="19">
        <f>'Intermédiaire_Prod-Résultats'!M34</f>
        <v>229.32150000000001</v>
      </c>
      <c r="E9" s="19">
        <f>'Intermédiaire_Prod-Résultats'!AB34</f>
        <v>2419.4891680000001</v>
      </c>
      <c r="F9" s="19">
        <f>'Intermédiaire_Prod-Résultats'!AE34</f>
        <v>1728.5976400000002</v>
      </c>
      <c r="G9" s="19">
        <f>'Intermédiaire_Prod-Résultats'!AK34</f>
        <v>269.67466999999999</v>
      </c>
      <c r="H9" s="49">
        <f>'Intermédiaire_Prod-Résultats'!AZ34</f>
        <v>2689.7877560000011</v>
      </c>
      <c r="I9" s="49">
        <f>'Intermédiaire_Prod-Résultats'!BC34</f>
        <v>1845.7328400000004</v>
      </c>
      <c r="J9" s="49">
        <f>'Intermédiaire_Prod-Résultats'!BI34</f>
        <v>310.02783999999986</v>
      </c>
      <c r="K9" s="52" t="s">
        <v>162</v>
      </c>
      <c r="L9" s="20">
        <f t="shared" si="1"/>
        <v>1472.5871593333336</v>
      </c>
      <c r="N9" s="21" t="str">
        <f t="shared" si="2"/>
        <v>MG-SOYA-AVOINE</v>
      </c>
      <c r="O9" s="25">
        <f>'Intermédiaire_Prod-Résultats'!E34</f>
        <v>2149.19058</v>
      </c>
      <c r="P9" s="19">
        <f>'Intermédiaire_Prod-Résultats'!H34</f>
        <v>1611.4624400000002</v>
      </c>
      <c r="Q9" s="19">
        <f>'Intermédiaire_Prod-Résultats'!N34</f>
        <v>229.32150000000001</v>
      </c>
      <c r="R9" s="19">
        <f>'Intermédiaire_Prod-Résultats'!AC34</f>
        <v>2419.4891680000001</v>
      </c>
      <c r="S9" s="19">
        <f>'Intermédiaire_Prod-Résultats'!AF34</f>
        <v>1728.5976400000002</v>
      </c>
      <c r="T9" s="19">
        <f>'Intermédiaire_Prod-Résultats'!AL34</f>
        <v>269.67466999999999</v>
      </c>
      <c r="U9" s="49">
        <f>'Intermédiaire_Prod-Résultats'!BA34</f>
        <v>2689.7877560000011</v>
      </c>
      <c r="V9" s="49">
        <f>'Intermédiaire_Prod-Résultats'!BD34</f>
        <v>1845.7328400000004</v>
      </c>
      <c r="W9" s="49">
        <f>'Intermédiaire_Prod-Résultats'!BJ34</f>
        <v>310.02783999999986</v>
      </c>
      <c r="X9" s="52" t="s">
        <v>162</v>
      </c>
      <c r="Y9" s="20">
        <f t="shared" si="0"/>
        <v>1472.5871593333336</v>
      </c>
    </row>
    <row r="10" spans="1:25" x14ac:dyDescent="0.25">
      <c r="A10" s="22" t="s">
        <v>166</v>
      </c>
      <c r="B10" s="25">
        <f>'Intermédiaire_Prod-Résultats'!D34</f>
        <v>2149.19058</v>
      </c>
      <c r="C10" s="19">
        <f>'Intermédiaire_Prod-Résultats'!G34</f>
        <v>1611.4624400000002</v>
      </c>
      <c r="D10" s="19">
        <f>'Intermédiaire_Prod-Résultats'!V34</f>
        <v>555.54009999999994</v>
      </c>
      <c r="E10" s="19">
        <f>'Intermédiaire_Prod-Résultats'!AB34</f>
        <v>2419.4891680000001</v>
      </c>
      <c r="F10" s="19">
        <f>'Intermédiaire_Prod-Résultats'!AE34</f>
        <v>1728.5976400000002</v>
      </c>
      <c r="G10" s="19">
        <f>'Intermédiaire_Prod-Résultats'!AT34</f>
        <v>603.42309999999998</v>
      </c>
      <c r="H10" s="49">
        <f>'Intermédiaire_Prod-Résultats'!AZ34</f>
        <v>2689.7877560000011</v>
      </c>
      <c r="I10" s="49">
        <f>'Intermédiaire_Prod-Résultats'!BC34</f>
        <v>1845.7328400000004</v>
      </c>
      <c r="J10" s="49">
        <f>'Intermédiaire_Prod-Résultats'!BR34</f>
        <v>651.30610000000001</v>
      </c>
      <c r="K10" s="52" t="s">
        <v>162</v>
      </c>
      <c r="L10" s="20">
        <f t="shared" si="1"/>
        <v>1583.8366360000002</v>
      </c>
      <c r="N10" s="21" t="str">
        <f t="shared" si="2"/>
        <v>MG-SOYA-SEIGLE</v>
      </c>
      <c r="O10" s="25">
        <f>'Intermédiaire_Prod-Résultats'!E34</f>
        <v>2149.19058</v>
      </c>
      <c r="P10" s="19">
        <f>'Intermédiaire_Prod-Résultats'!H34</f>
        <v>1611.4624400000002</v>
      </c>
      <c r="Q10" s="19">
        <f>'Intermédiaire_Prod-Résultats'!W34</f>
        <v>555.54009999999994</v>
      </c>
      <c r="R10" s="19">
        <f>'Intermédiaire_Prod-Résultats'!AC34</f>
        <v>2419.4891680000001</v>
      </c>
      <c r="S10" s="19">
        <f>'Intermédiaire_Prod-Résultats'!AF34</f>
        <v>1728.5976400000002</v>
      </c>
      <c r="T10" s="19">
        <f>'Intermédiaire_Prod-Résultats'!AU34</f>
        <v>603.42309999999998</v>
      </c>
      <c r="U10" s="49">
        <f>'Intermédiaire_Prod-Résultats'!BA34</f>
        <v>2689.7877560000011</v>
      </c>
      <c r="V10" s="49">
        <f>'Intermédiaire_Prod-Résultats'!BD34</f>
        <v>1845.7328400000004</v>
      </c>
      <c r="W10" s="49">
        <f>'Intermédiaire_Prod-Résultats'!BS34</f>
        <v>651.30610000000001</v>
      </c>
      <c r="X10" s="52" t="s">
        <v>162</v>
      </c>
      <c r="Y10" s="20">
        <f t="shared" si="0"/>
        <v>1583.8366360000002</v>
      </c>
    </row>
    <row r="11" spans="1:25" x14ac:dyDescent="0.25">
      <c r="A11" s="22" t="s">
        <v>183</v>
      </c>
      <c r="B11" s="25">
        <f>'Intermédiaire_Prod-Résultats'!D34</f>
        <v>2149.19058</v>
      </c>
      <c r="C11" s="19">
        <f>'Intermédiaire_Prod-Résultats'!G34</f>
        <v>1611.4624400000002</v>
      </c>
      <c r="D11" s="19">
        <f>'Intermédiaire_Prod-Résultats'!Y34</f>
        <v>1188.3990000000001</v>
      </c>
      <c r="E11" s="19">
        <f>'Intermédiaire_Prod-Résultats'!AB34</f>
        <v>2419.4891680000001</v>
      </c>
      <c r="F11" s="19">
        <f>'Intermédiaire_Prod-Résultats'!AE34</f>
        <v>1728.5976400000002</v>
      </c>
      <c r="G11" s="19">
        <f>'Intermédiaire_Prod-Résultats'!AW34</f>
        <v>1271.0420000000001</v>
      </c>
      <c r="H11" s="49">
        <f>'Intermédiaire_Prod-Résultats'!AZ34</f>
        <v>2689.7877560000011</v>
      </c>
      <c r="I11" s="49">
        <f>'Intermédiaire_Prod-Résultats'!BC34</f>
        <v>1845.7328400000004</v>
      </c>
      <c r="J11" s="49">
        <f>'Intermédiaire_Prod-Résultats'!BU34</f>
        <v>1353.6849999999999</v>
      </c>
      <c r="K11" s="52" t="s">
        <v>162</v>
      </c>
      <c r="L11" s="20">
        <f t="shared" si="1"/>
        <v>1806.3762693333335</v>
      </c>
      <c r="N11" s="21" t="str">
        <f t="shared" si="2"/>
        <v>MG-SOYA-SEIGLE HYBRIDE D'AUTOMNE</v>
      </c>
      <c r="O11" s="25">
        <f>'Intermédiaire_Prod-Résultats'!E34</f>
        <v>2149.19058</v>
      </c>
      <c r="P11" s="19">
        <f>'Intermédiaire_Prod-Résultats'!H34</f>
        <v>1611.4624400000002</v>
      </c>
      <c r="Q11" s="19">
        <f>'Intermédiaire_Prod-Résultats'!Z34</f>
        <v>1188.3990000000001</v>
      </c>
      <c r="R11" s="19">
        <f>'Intermédiaire_Prod-Résultats'!AC34</f>
        <v>2419.4891680000001</v>
      </c>
      <c r="S11" s="19">
        <f>'Intermédiaire_Prod-Résultats'!AF34</f>
        <v>1728.5976400000002</v>
      </c>
      <c r="T11" s="19">
        <f>'Intermédiaire_Prod-Résultats'!AX34</f>
        <v>1271.0420000000001</v>
      </c>
      <c r="U11" s="49">
        <f>'Intermédiaire_Prod-Résultats'!BA34</f>
        <v>2689.7877560000011</v>
      </c>
      <c r="V11" s="49">
        <f>'Intermédiaire_Prod-Résultats'!BD34</f>
        <v>1845.7328400000004</v>
      </c>
      <c r="W11" s="49">
        <f>'Intermédiaire_Prod-Résultats'!BV34</f>
        <v>1353.6849999999999</v>
      </c>
      <c r="X11" s="52" t="s">
        <v>162</v>
      </c>
      <c r="Y11" s="20">
        <f t="shared" si="0"/>
        <v>1806.3762693333335</v>
      </c>
    </row>
    <row r="14" spans="1:25" ht="18.75" x14ac:dyDescent="0.3">
      <c r="A14" s="104" t="s">
        <v>82</v>
      </c>
      <c r="B14" s="104"/>
      <c r="C14" s="104"/>
      <c r="D14" s="104"/>
      <c r="E14" s="104"/>
      <c r="F14" s="104"/>
      <c r="G14" s="104"/>
      <c r="H14" s="104"/>
      <c r="I14" s="104"/>
      <c r="J14" s="104"/>
      <c r="K14" s="104"/>
      <c r="L14" s="104"/>
      <c r="N14" s="101" t="s">
        <v>87</v>
      </c>
      <c r="O14" s="101"/>
      <c r="P14" s="101"/>
      <c r="Q14" s="101"/>
      <c r="R14" s="101"/>
      <c r="S14" s="101"/>
      <c r="T14" s="101"/>
      <c r="U14" s="101"/>
      <c r="V14" s="101"/>
      <c r="W14" s="101"/>
      <c r="X14" s="101"/>
      <c r="Y14" s="101"/>
    </row>
    <row r="15" spans="1:25" ht="15.75" x14ac:dyDescent="0.25">
      <c r="A15" s="105" t="s">
        <v>85</v>
      </c>
      <c r="B15" s="105"/>
      <c r="C15" s="105"/>
      <c r="D15" s="105"/>
      <c r="E15" s="105"/>
      <c r="F15" s="105"/>
      <c r="G15" s="105"/>
      <c r="H15" s="105"/>
      <c r="I15" s="105"/>
      <c r="J15" s="105"/>
      <c r="K15" s="105"/>
      <c r="L15" s="105"/>
      <c r="N15" s="100" t="s">
        <v>85</v>
      </c>
      <c r="O15" s="100"/>
      <c r="P15" s="100"/>
      <c r="Q15" s="100"/>
      <c r="R15" s="100"/>
      <c r="S15" s="100"/>
      <c r="T15" s="100"/>
      <c r="U15" s="100"/>
      <c r="V15" s="100"/>
      <c r="W15" s="100"/>
      <c r="X15" s="100"/>
      <c r="Y15" s="100"/>
    </row>
    <row r="16" spans="1:25" ht="15.75" outlineLevel="1" x14ac:dyDescent="0.25">
      <c r="A16" s="14"/>
      <c r="B16" s="108" t="s">
        <v>172</v>
      </c>
      <c r="C16" s="109"/>
      <c r="D16" s="110"/>
      <c r="E16" s="108" t="s">
        <v>173</v>
      </c>
      <c r="F16" s="109"/>
      <c r="G16" s="110"/>
      <c r="H16" s="108" t="s">
        <v>174</v>
      </c>
      <c r="I16" s="109"/>
      <c r="J16" s="110"/>
      <c r="K16" s="14"/>
      <c r="L16" s="14"/>
      <c r="N16" s="14"/>
      <c r="O16" s="108" t="s">
        <v>172</v>
      </c>
      <c r="P16" s="109"/>
      <c r="Q16" s="110"/>
      <c r="R16" s="108" t="s">
        <v>173</v>
      </c>
      <c r="S16" s="109"/>
      <c r="T16" s="110"/>
      <c r="U16" s="108" t="s">
        <v>174</v>
      </c>
      <c r="V16" s="109"/>
      <c r="W16" s="110"/>
      <c r="X16" s="14"/>
      <c r="Y16" s="14"/>
    </row>
    <row r="17" spans="1:25" outlineLevel="1" x14ac:dyDescent="0.25">
      <c r="A17" s="75" t="s">
        <v>197</v>
      </c>
      <c r="B17" s="23" t="s">
        <v>75</v>
      </c>
      <c r="C17" s="15" t="s">
        <v>76</v>
      </c>
      <c r="D17" s="15" t="s">
        <v>77</v>
      </c>
      <c r="E17" s="15" t="s">
        <v>78</v>
      </c>
      <c r="F17" s="15" t="s">
        <v>79</v>
      </c>
      <c r="G17" s="15" t="s">
        <v>80</v>
      </c>
      <c r="H17" s="15" t="s">
        <v>159</v>
      </c>
      <c r="I17" s="15" t="s">
        <v>160</v>
      </c>
      <c r="J17" s="15" t="s">
        <v>161</v>
      </c>
      <c r="K17" s="15" t="s">
        <v>163</v>
      </c>
      <c r="L17" s="16" t="s">
        <v>84</v>
      </c>
      <c r="N17" s="86" t="s">
        <v>197</v>
      </c>
      <c r="O17" s="23" t="s">
        <v>75</v>
      </c>
      <c r="P17" s="15" t="s">
        <v>76</v>
      </c>
      <c r="Q17" s="15" t="s">
        <v>77</v>
      </c>
      <c r="R17" s="15" t="s">
        <v>78</v>
      </c>
      <c r="S17" s="15" t="s">
        <v>79</v>
      </c>
      <c r="T17" s="15" t="s">
        <v>80</v>
      </c>
      <c r="U17" s="15" t="s">
        <v>159</v>
      </c>
      <c r="V17" s="15" t="s">
        <v>160</v>
      </c>
      <c r="W17" s="15" t="s">
        <v>161</v>
      </c>
      <c r="X17" s="15" t="s">
        <v>163</v>
      </c>
      <c r="Y17" s="16" t="s">
        <v>84</v>
      </c>
    </row>
    <row r="18" spans="1:25" outlineLevel="1" x14ac:dyDescent="0.25">
      <c r="A18" s="21" t="str">
        <f>A5</f>
        <v>MG-SOYA</v>
      </c>
      <c r="B18" s="24">
        <f>'Intermédiaire_Prod-Résultats'!$D44</f>
        <v>1901.5805800000001</v>
      </c>
      <c r="C18" s="17">
        <f>'Intermédiaire_Prod-Résultats'!$G44</f>
        <v>1429.1224400000003</v>
      </c>
      <c r="D18" s="17">
        <f>B18</f>
        <v>1901.5805800000001</v>
      </c>
      <c r="E18" s="17">
        <f>C18</f>
        <v>1429.1224400000003</v>
      </c>
      <c r="F18" s="17">
        <f>D18</f>
        <v>1901.5805800000001</v>
      </c>
      <c r="G18" s="17">
        <f>E18</f>
        <v>1429.1224400000003</v>
      </c>
      <c r="H18" s="46">
        <f>B18</f>
        <v>1901.5805800000001</v>
      </c>
      <c r="I18" s="46">
        <f>C18</f>
        <v>1429.1224400000003</v>
      </c>
      <c r="J18" s="47" t="s">
        <v>162</v>
      </c>
      <c r="K18" s="47" t="s">
        <v>162</v>
      </c>
      <c r="L18" s="18">
        <f>AVERAGE(B18:J18)</f>
        <v>1665.3515100000004</v>
      </c>
      <c r="N18" s="21" t="str">
        <f>A18</f>
        <v>MG-SOYA</v>
      </c>
      <c r="O18" s="24">
        <f>'Intermédiaire_Prod-Résultats'!$E44</f>
        <v>1901.5805800000001</v>
      </c>
      <c r="P18" s="17">
        <f>'Intermédiaire_Prod-Résultats'!$H44</f>
        <v>1429.1224400000003</v>
      </c>
      <c r="Q18" s="17">
        <f>O18</f>
        <v>1901.5805800000001</v>
      </c>
      <c r="R18" s="17">
        <f>P18</f>
        <v>1429.1224400000003</v>
      </c>
      <c r="S18" s="17">
        <f>Q18</f>
        <v>1901.5805800000001</v>
      </c>
      <c r="T18" s="17">
        <f>R18</f>
        <v>1429.1224400000003</v>
      </c>
      <c r="U18" s="46">
        <f>O18</f>
        <v>1901.5805800000001</v>
      </c>
      <c r="V18" s="46">
        <f>P18</f>
        <v>1429.1224400000003</v>
      </c>
      <c r="W18" s="47" t="s">
        <v>162</v>
      </c>
      <c r="X18" s="47" t="s">
        <v>162</v>
      </c>
      <c r="Y18" s="18">
        <f t="shared" ref="Y18:Y24" si="3">AVERAGE(O18:W18)</f>
        <v>1665.3515100000004</v>
      </c>
    </row>
    <row r="19" spans="1:25" outlineLevel="1" x14ac:dyDescent="0.25">
      <c r="A19" s="21" t="str">
        <f t="shared" ref="A19:A24" si="4">A6</f>
        <v>MG-SOYA-BLÉ D'AUTOMNE PANIFIABLE</v>
      </c>
      <c r="B19" s="25">
        <f>'Intermédiaire_Prod-Résultats'!$D44</f>
        <v>1901.5805800000001</v>
      </c>
      <c r="C19" s="19">
        <f>'Intermédiaire_Prod-Résultats'!$G44</f>
        <v>1429.1224400000003</v>
      </c>
      <c r="D19" s="19">
        <f>'Intermédiaire_Prod-Résultats'!$P44</f>
        <v>867.58709999999951</v>
      </c>
      <c r="E19" s="19">
        <f>'Intermédiaire_Prod-Résultats'!$AB44</f>
        <v>2171.8791679999999</v>
      </c>
      <c r="F19" s="19">
        <f>'Intermédiaire_Prod-Résultats'!$AE44</f>
        <v>1546.2576400000003</v>
      </c>
      <c r="G19" s="19">
        <f>'Intermédiaire_Prod-Résultats'!$AN44</f>
        <v>953.86339999999961</v>
      </c>
      <c r="H19" s="49">
        <f>'Intermédiaire_Prod-Résultats'!$AZ44</f>
        <v>2442.177756000001</v>
      </c>
      <c r="I19" s="49">
        <f>'Intermédiaire_Prod-Résultats'!$BC44</f>
        <v>1663.3928400000004</v>
      </c>
      <c r="J19" s="49">
        <f>'Intermédiaire_Prod-Résultats'!$BL44</f>
        <v>1040.1396999999997</v>
      </c>
      <c r="K19" s="48" t="s">
        <v>162</v>
      </c>
      <c r="L19" s="20">
        <f>AVERAGE(B19:J19)</f>
        <v>1557.3334026666666</v>
      </c>
      <c r="N19" s="21" t="str">
        <f t="shared" ref="N19:N24" si="5">A19</f>
        <v>MG-SOYA-BLÉ D'AUTOMNE PANIFIABLE</v>
      </c>
      <c r="O19" s="25">
        <f>'Intermédiaire_Prod-Résultats'!$E44</f>
        <v>1901.5805800000001</v>
      </c>
      <c r="P19" s="19">
        <f>'Intermédiaire_Prod-Résultats'!$H44</f>
        <v>1429.1224400000003</v>
      </c>
      <c r="Q19" s="19">
        <f>'Intermédiaire_Prod-Résultats'!$Q44</f>
        <v>867.58709999999951</v>
      </c>
      <c r="R19" s="19">
        <f>'Intermédiaire_Prod-Résultats'!$AC44</f>
        <v>2171.8791679999999</v>
      </c>
      <c r="S19" s="19">
        <f>'Intermédiaire_Prod-Résultats'!$AF44</f>
        <v>1546.2576400000003</v>
      </c>
      <c r="T19" s="19">
        <f>'Intermédiaire_Prod-Résultats'!$AO44</f>
        <v>953.86339999999961</v>
      </c>
      <c r="U19" s="49">
        <f>'Intermédiaire_Prod-Résultats'!$BA44</f>
        <v>2442.177756000001</v>
      </c>
      <c r="V19" s="49">
        <f>'Intermédiaire_Prod-Résultats'!$BD44</f>
        <v>1663.3928400000004</v>
      </c>
      <c r="W19" s="49">
        <f>'Intermédiaire_Prod-Résultats'!$BM44</f>
        <v>1040.1396999999997</v>
      </c>
      <c r="X19" s="48" t="s">
        <v>162</v>
      </c>
      <c r="Y19" s="20">
        <f t="shared" si="3"/>
        <v>1557.3334026666666</v>
      </c>
    </row>
    <row r="20" spans="1:25" outlineLevel="1" x14ac:dyDescent="0.25">
      <c r="A20" s="21" t="str">
        <f t="shared" si="4"/>
        <v>MG-SOYA-BLÉ DE PRINTEMPS PANIFIABLE</v>
      </c>
      <c r="B20" s="25">
        <f>'Intermédiaire_Prod-Résultats'!$D44</f>
        <v>1901.5805800000001</v>
      </c>
      <c r="C20" s="19">
        <f>'Intermédiaire_Prod-Résultats'!$G44</f>
        <v>1429.1224400000003</v>
      </c>
      <c r="D20" s="19">
        <f>'Intermédiaire_Prod-Résultats'!$S44</f>
        <v>506.0784000000001</v>
      </c>
      <c r="E20" s="19">
        <f>'Intermédiaire_Prod-Résultats'!$AB44</f>
        <v>2171.8791679999999</v>
      </c>
      <c r="F20" s="19">
        <f>'Intermédiaire_Prod-Résultats'!$AE44</f>
        <v>1546.2576400000003</v>
      </c>
      <c r="G20" s="19">
        <f>'Intermédiaire_Prod-Résultats'!$AQ44</f>
        <v>574.05652999999984</v>
      </c>
      <c r="H20" s="49">
        <f>'Intermédiaire_Prod-Résultats'!$AZ44</f>
        <v>2442.177756000001</v>
      </c>
      <c r="I20" s="49">
        <f>'Intermédiaire_Prod-Résultats'!$BC44</f>
        <v>1663.3928400000004</v>
      </c>
      <c r="J20" s="49">
        <f>'Intermédiaire_Prod-Résultats'!$BO44</f>
        <v>642.03466000000003</v>
      </c>
      <c r="K20" s="48" t="s">
        <v>162</v>
      </c>
      <c r="L20" s="20">
        <f>AVERAGE(B20:J20)</f>
        <v>1430.7311126666668</v>
      </c>
      <c r="N20" s="21" t="str">
        <f t="shared" si="5"/>
        <v>MG-SOYA-BLÉ DE PRINTEMPS PANIFIABLE</v>
      </c>
      <c r="O20" s="25">
        <f>'Intermédiaire_Prod-Résultats'!$E44</f>
        <v>1901.5805800000001</v>
      </c>
      <c r="P20" s="19">
        <f>'Intermédiaire_Prod-Résultats'!$H44</f>
        <v>1429.1224400000003</v>
      </c>
      <c r="Q20" s="19">
        <f>'Intermédiaire_Prod-Résultats'!$T44</f>
        <v>506.0784000000001</v>
      </c>
      <c r="R20" s="19">
        <f>'Intermédiaire_Prod-Résultats'!$AC44</f>
        <v>2171.8791679999999</v>
      </c>
      <c r="S20" s="19">
        <f>'Intermédiaire_Prod-Résultats'!$AF44</f>
        <v>1546.2576400000003</v>
      </c>
      <c r="T20" s="19">
        <f>'Intermédiaire_Prod-Résultats'!$AR44</f>
        <v>574.05652999999984</v>
      </c>
      <c r="U20" s="49">
        <f>'Intermédiaire_Prod-Résultats'!$BA44</f>
        <v>2442.177756000001</v>
      </c>
      <c r="V20" s="49">
        <f>'Intermédiaire_Prod-Résultats'!$BD44</f>
        <v>1663.3928400000004</v>
      </c>
      <c r="W20" s="49">
        <f>'Intermédiaire_Prod-Résultats'!$BP44</f>
        <v>642.03466000000003</v>
      </c>
      <c r="X20" s="48" t="s">
        <v>162</v>
      </c>
      <c r="Y20" s="20">
        <f t="shared" si="3"/>
        <v>1430.7311126666668</v>
      </c>
    </row>
    <row r="21" spans="1:25" outlineLevel="1" x14ac:dyDescent="0.25">
      <c r="A21" s="21" t="str">
        <f t="shared" si="4"/>
        <v>MG-SOYA-ORGE</v>
      </c>
      <c r="B21" s="25">
        <f>'Intermédiaire_Prod-Résultats'!D44</f>
        <v>1901.5805800000001</v>
      </c>
      <c r="C21" s="19">
        <f>'Intermédiaire_Prod-Résultats'!G44</f>
        <v>1429.1224400000003</v>
      </c>
      <c r="D21" s="19">
        <f>'Intermédiaire_Prod-Résultats'!J44</f>
        <v>120.07640000000015</v>
      </c>
      <c r="E21" s="19">
        <f>'Intermédiaire_Prod-Résultats'!AB44</f>
        <v>2171.8791679999999</v>
      </c>
      <c r="F21" s="19">
        <f>'Intermédiaire_Prod-Résultats'!AE44</f>
        <v>1546.2576400000003</v>
      </c>
      <c r="G21" s="19">
        <f>'Intermédiaire_Prod-Résultats'!AH44</f>
        <v>172.11024999999995</v>
      </c>
      <c r="H21" s="49">
        <f>'Intermédiaire_Prod-Résultats'!AZ44</f>
        <v>2442.177756000001</v>
      </c>
      <c r="I21" s="49">
        <f>'Intermédiaire_Prod-Résultats'!BC44</f>
        <v>1663.3928400000004</v>
      </c>
      <c r="J21" s="49">
        <f>'Intermédiaire_Prod-Résultats'!BF44</f>
        <v>224.14409999999975</v>
      </c>
      <c r="K21" s="48" t="s">
        <v>162</v>
      </c>
      <c r="L21" s="20">
        <f>AVERAGE(B21:J21)</f>
        <v>1296.7490193333333</v>
      </c>
      <c r="N21" s="21" t="str">
        <f t="shared" si="5"/>
        <v>MG-SOYA-ORGE</v>
      </c>
      <c r="O21" s="25">
        <f>'Intermédiaire_Prod-Résultats'!E44</f>
        <v>1901.5805800000001</v>
      </c>
      <c r="P21" s="19">
        <f>'Intermédiaire_Prod-Résultats'!H44</f>
        <v>1429.1224400000003</v>
      </c>
      <c r="Q21" s="19">
        <f>'Intermédiaire_Prod-Résultats'!K44</f>
        <v>120.07640000000015</v>
      </c>
      <c r="R21" s="19">
        <f>'Intermédiaire_Prod-Résultats'!AC44</f>
        <v>2171.8791679999999</v>
      </c>
      <c r="S21" s="19">
        <f>'Intermédiaire_Prod-Résultats'!AF44</f>
        <v>1546.2576400000003</v>
      </c>
      <c r="T21" s="19">
        <f>'Intermédiaire_Prod-Résultats'!AI44</f>
        <v>172.11024999999995</v>
      </c>
      <c r="U21" s="49">
        <f>'Intermédiaire_Prod-Résultats'!BA44</f>
        <v>2442.177756000001</v>
      </c>
      <c r="V21" s="49">
        <f>'Intermédiaire_Prod-Résultats'!BD44</f>
        <v>1663.3928400000004</v>
      </c>
      <c r="W21" s="49">
        <f>'Intermédiaire_Prod-Résultats'!BG44</f>
        <v>224.14409999999975</v>
      </c>
      <c r="X21" s="48" t="s">
        <v>162</v>
      </c>
      <c r="Y21" s="20">
        <f t="shared" si="3"/>
        <v>1296.7490193333333</v>
      </c>
    </row>
    <row r="22" spans="1:25" outlineLevel="1" x14ac:dyDescent="0.25">
      <c r="A22" s="21" t="str">
        <f t="shared" si="4"/>
        <v>MG-SOYA-AVOINE</v>
      </c>
      <c r="B22" s="25">
        <f>'Intermédiaire_Prod-Résultats'!D44</f>
        <v>1901.5805800000001</v>
      </c>
      <c r="C22" s="19">
        <f>'Intermédiaire_Prod-Résultats'!G44</f>
        <v>1429.1224400000003</v>
      </c>
      <c r="D22" s="19">
        <f>'Intermédiaire_Prod-Résultats'!M44</f>
        <v>59.551500000000004</v>
      </c>
      <c r="E22" s="19">
        <f>'Intermédiaire_Prod-Résultats'!AB44</f>
        <v>2171.8791679999999</v>
      </c>
      <c r="F22" s="19">
        <f>'Intermédiaire_Prod-Résultats'!AE44</f>
        <v>1546.2576400000003</v>
      </c>
      <c r="G22" s="19">
        <f>'Intermédiaire_Prod-Résultats'!AK44</f>
        <v>99.904669999999982</v>
      </c>
      <c r="H22" s="49">
        <f>'Intermédiaire_Prod-Résultats'!AZ44</f>
        <v>2442.177756000001</v>
      </c>
      <c r="I22" s="49">
        <f>'Intermédiaire_Prod-Résultats'!BC44</f>
        <v>1663.3928400000004</v>
      </c>
      <c r="J22" s="49">
        <f>'Intermédiaire_Prod-Résultats'!BI44</f>
        <v>140.25783999999985</v>
      </c>
      <c r="K22" s="52" t="s">
        <v>162</v>
      </c>
      <c r="L22" s="20">
        <f>AVERAGE(B22:K22)</f>
        <v>1272.6804926666669</v>
      </c>
      <c r="N22" s="21" t="str">
        <f t="shared" si="5"/>
        <v>MG-SOYA-AVOINE</v>
      </c>
      <c r="O22" s="25">
        <f>'Intermédiaire_Prod-Résultats'!E44</f>
        <v>1901.5805800000001</v>
      </c>
      <c r="P22" s="19">
        <f>'Intermédiaire_Prod-Résultats'!H44</f>
        <v>1429.1224400000003</v>
      </c>
      <c r="Q22" s="19">
        <f>'Intermédiaire_Prod-Résultats'!N44</f>
        <v>59.551500000000004</v>
      </c>
      <c r="R22" s="19">
        <f>'Intermédiaire_Prod-Résultats'!AC44</f>
        <v>2171.8791679999999</v>
      </c>
      <c r="S22" s="19">
        <f>'Intermédiaire_Prod-Résultats'!AF44</f>
        <v>1546.2576400000003</v>
      </c>
      <c r="T22" s="19">
        <f>'Intermédiaire_Prod-Résultats'!AL44</f>
        <v>99.904669999999982</v>
      </c>
      <c r="U22" s="49">
        <f>'Intermédiaire_Prod-Résultats'!BA44</f>
        <v>2442.177756000001</v>
      </c>
      <c r="V22" s="49">
        <f>'Intermédiaire_Prod-Résultats'!BD44</f>
        <v>1663.3928400000004</v>
      </c>
      <c r="W22" s="49">
        <f>'Intermédiaire_Prod-Résultats'!BJ44</f>
        <v>140.25783999999985</v>
      </c>
      <c r="X22" s="52" t="s">
        <v>162</v>
      </c>
      <c r="Y22" s="20">
        <f t="shared" si="3"/>
        <v>1272.6804926666669</v>
      </c>
    </row>
    <row r="23" spans="1:25" outlineLevel="1" x14ac:dyDescent="0.25">
      <c r="A23" s="21" t="str">
        <f t="shared" si="4"/>
        <v>MG-SOYA-SEIGLE</v>
      </c>
      <c r="B23" s="25">
        <f>'Intermédiaire_Prod-Résultats'!D44</f>
        <v>1901.5805800000001</v>
      </c>
      <c r="C23" s="19">
        <f>'Intermédiaire_Prod-Résultats'!G44</f>
        <v>1429.1224400000003</v>
      </c>
      <c r="D23" s="19">
        <f>'Intermédiaire_Prod-Résultats'!V44</f>
        <v>481.24009999999993</v>
      </c>
      <c r="E23" s="19">
        <f>'Intermédiaire_Prod-Résultats'!AB44</f>
        <v>2171.8791679999999</v>
      </c>
      <c r="F23" s="19">
        <f>'Intermédiaire_Prod-Résultats'!AE44</f>
        <v>1546.2576400000003</v>
      </c>
      <c r="G23" s="19">
        <f>'Intermédiaire_Prod-Résultats'!AT44</f>
        <v>529.12310000000002</v>
      </c>
      <c r="H23" s="49">
        <f>'Intermédiaire_Prod-Résultats'!AZ44</f>
        <v>2442.177756000001</v>
      </c>
      <c r="I23" s="49">
        <f>'Intermédiaire_Prod-Résultats'!BC44</f>
        <v>1663.3928400000004</v>
      </c>
      <c r="J23" s="49">
        <f>'Intermédiaire_Prod-Résultats'!BR44</f>
        <v>577.00610000000006</v>
      </c>
      <c r="K23" s="52" t="s">
        <v>162</v>
      </c>
      <c r="L23" s="20">
        <f>AVERAGE(B23:K23)</f>
        <v>1415.753302666667</v>
      </c>
      <c r="N23" s="21" t="str">
        <f t="shared" si="5"/>
        <v>MG-SOYA-SEIGLE</v>
      </c>
      <c r="O23" s="25">
        <f>'Intermédiaire_Prod-Résultats'!E44</f>
        <v>1901.5805800000001</v>
      </c>
      <c r="P23" s="19">
        <f>'Intermédiaire_Prod-Résultats'!H44</f>
        <v>1429.1224400000003</v>
      </c>
      <c r="Q23" s="19">
        <f>'Intermédiaire_Prod-Résultats'!W44</f>
        <v>481.24009999999993</v>
      </c>
      <c r="R23" s="19">
        <f>'Intermédiaire_Prod-Résultats'!AC44</f>
        <v>2171.8791679999999</v>
      </c>
      <c r="S23" s="19">
        <f>'Intermédiaire_Prod-Résultats'!AF44</f>
        <v>1546.2576400000003</v>
      </c>
      <c r="T23" s="19">
        <f>'Intermédiaire_Prod-Résultats'!AU44</f>
        <v>529.12310000000002</v>
      </c>
      <c r="U23" s="49">
        <f>'Intermédiaire_Prod-Résultats'!BA44</f>
        <v>2442.177756000001</v>
      </c>
      <c r="V23" s="49">
        <f>'Intermédiaire_Prod-Résultats'!BD44</f>
        <v>1663.3928400000004</v>
      </c>
      <c r="W23" s="49">
        <f>'Intermédiaire_Prod-Résultats'!BS44</f>
        <v>577.00610000000006</v>
      </c>
      <c r="X23" s="52" t="s">
        <v>162</v>
      </c>
      <c r="Y23" s="20">
        <f t="shared" si="3"/>
        <v>1415.753302666667</v>
      </c>
    </row>
    <row r="24" spans="1:25" outlineLevel="1" x14ac:dyDescent="0.25">
      <c r="A24" s="21" t="str">
        <f t="shared" si="4"/>
        <v>MG-SOYA-SEIGLE HYBRIDE D'AUTOMNE</v>
      </c>
      <c r="B24" s="25">
        <f>'Intermédiaire_Prod-Résultats'!D44</f>
        <v>1901.5805800000001</v>
      </c>
      <c r="C24" s="19">
        <f>'Intermédiaire_Prod-Résultats'!G44</f>
        <v>1429.1224400000003</v>
      </c>
      <c r="D24" s="19">
        <f>'Intermédiaire_Prod-Résultats'!Y44</f>
        <v>1114.0990000000002</v>
      </c>
      <c r="E24" s="19">
        <f>'Intermédiaire_Prod-Résultats'!AB44</f>
        <v>2171.8791679999999</v>
      </c>
      <c r="F24" s="19">
        <f>'Intermédiaire_Prod-Résultats'!AE44</f>
        <v>1546.2576400000003</v>
      </c>
      <c r="G24" s="19">
        <f>'Intermédiaire_Prod-Résultats'!AW44</f>
        <v>1196.7420000000002</v>
      </c>
      <c r="H24" s="49">
        <f>'Intermédiaire_Prod-Résultats'!AZ44</f>
        <v>2442.177756000001</v>
      </c>
      <c r="I24" s="49">
        <f>'Intermédiaire_Prod-Résultats'!BC44</f>
        <v>1663.3928400000004</v>
      </c>
      <c r="J24" s="49">
        <f>'Intermédiaire_Prod-Résultats'!BU44</f>
        <v>1279.385</v>
      </c>
      <c r="K24" s="52" t="s">
        <v>162</v>
      </c>
      <c r="L24" s="20">
        <f>AVERAGE(B24:K24)</f>
        <v>1638.2929360000003</v>
      </c>
      <c r="N24" s="21" t="str">
        <f t="shared" si="5"/>
        <v>MG-SOYA-SEIGLE HYBRIDE D'AUTOMNE</v>
      </c>
      <c r="O24" s="25">
        <f>'Intermédiaire_Prod-Résultats'!E44</f>
        <v>1901.5805800000001</v>
      </c>
      <c r="P24" s="19">
        <f>'Intermédiaire_Prod-Résultats'!H44</f>
        <v>1429.1224400000003</v>
      </c>
      <c r="Q24" s="19">
        <f>'Intermédiaire_Prod-Résultats'!Z44</f>
        <v>1114.0990000000002</v>
      </c>
      <c r="R24" s="19">
        <f>'Intermédiaire_Prod-Résultats'!AC44</f>
        <v>2171.8791679999999</v>
      </c>
      <c r="S24" s="19">
        <f>'Intermédiaire_Prod-Résultats'!AF44</f>
        <v>1546.2576400000003</v>
      </c>
      <c r="T24" s="19">
        <f>'Intermédiaire_Prod-Résultats'!AX44</f>
        <v>1196.7420000000002</v>
      </c>
      <c r="U24" s="49">
        <f>'Intermédiaire_Prod-Résultats'!BA44</f>
        <v>2442.177756000001</v>
      </c>
      <c r="V24" s="49">
        <f>'Intermédiaire_Prod-Résultats'!BD44</f>
        <v>1663.3928400000004</v>
      </c>
      <c r="W24" s="49">
        <f>'Intermédiaire_Prod-Résultats'!BV44</f>
        <v>1279.385</v>
      </c>
      <c r="X24" s="52" t="s">
        <v>162</v>
      </c>
      <c r="Y24" s="20">
        <f t="shared" si="3"/>
        <v>1638.2929360000003</v>
      </c>
    </row>
    <row r="27" spans="1:25" ht="18.75" x14ac:dyDescent="0.3">
      <c r="A27" s="96" t="s">
        <v>82</v>
      </c>
      <c r="B27" s="96"/>
      <c r="C27" s="96"/>
      <c r="D27" s="96"/>
      <c r="E27" s="96"/>
      <c r="F27" s="96"/>
      <c r="G27" s="96"/>
      <c r="H27" s="96"/>
      <c r="I27" s="96"/>
      <c r="J27" s="96"/>
      <c r="K27" s="96"/>
      <c r="L27" s="96"/>
      <c r="N27" s="106" t="s">
        <v>87</v>
      </c>
      <c r="O27" s="106"/>
      <c r="P27" s="106"/>
      <c r="Q27" s="106"/>
      <c r="R27" s="106"/>
      <c r="S27" s="106"/>
      <c r="T27" s="106"/>
      <c r="U27" s="106"/>
      <c r="V27" s="106"/>
      <c r="W27" s="106"/>
      <c r="X27" s="106"/>
      <c r="Y27" s="106"/>
    </row>
    <row r="28" spans="1:25" ht="15.75" x14ac:dyDescent="0.25">
      <c r="A28" s="97" t="s">
        <v>86</v>
      </c>
      <c r="B28" s="97"/>
      <c r="C28" s="97"/>
      <c r="D28" s="97"/>
      <c r="E28" s="97"/>
      <c r="F28" s="97"/>
      <c r="G28" s="97"/>
      <c r="H28" s="97"/>
      <c r="I28" s="97"/>
      <c r="J28" s="97"/>
      <c r="K28" s="97"/>
      <c r="L28" s="97"/>
      <c r="N28" s="107" t="s">
        <v>85</v>
      </c>
      <c r="O28" s="107"/>
      <c r="P28" s="107"/>
      <c r="Q28" s="107"/>
      <c r="R28" s="107"/>
      <c r="S28" s="107"/>
      <c r="T28" s="107"/>
      <c r="U28" s="107"/>
      <c r="V28" s="107"/>
      <c r="W28" s="107"/>
      <c r="X28" s="107"/>
      <c r="Y28" s="107"/>
    </row>
    <row r="29" spans="1:25" ht="15.75" outlineLevel="1" x14ac:dyDescent="0.25">
      <c r="A29" s="14"/>
      <c r="B29" s="108" t="s">
        <v>172</v>
      </c>
      <c r="C29" s="109"/>
      <c r="D29" s="110"/>
      <c r="E29" s="108" t="s">
        <v>173</v>
      </c>
      <c r="F29" s="109"/>
      <c r="G29" s="110"/>
      <c r="H29" s="108" t="s">
        <v>174</v>
      </c>
      <c r="I29" s="109"/>
      <c r="J29" s="110"/>
      <c r="K29" s="14"/>
      <c r="L29" s="14"/>
      <c r="N29" s="14"/>
      <c r="O29" s="108" t="s">
        <v>172</v>
      </c>
      <c r="P29" s="109"/>
      <c r="Q29" s="110"/>
      <c r="R29" s="108" t="s">
        <v>173</v>
      </c>
      <c r="S29" s="109"/>
      <c r="T29" s="110"/>
      <c r="U29" s="108" t="s">
        <v>174</v>
      </c>
      <c r="V29" s="109"/>
      <c r="W29" s="110"/>
      <c r="X29" s="14"/>
      <c r="Y29" s="14"/>
    </row>
    <row r="30" spans="1:25" outlineLevel="1" x14ac:dyDescent="0.25">
      <c r="A30" s="76" t="s">
        <v>197</v>
      </c>
      <c r="B30" s="23" t="s">
        <v>75</v>
      </c>
      <c r="C30" s="15" t="s">
        <v>76</v>
      </c>
      <c r="D30" s="15" t="s">
        <v>77</v>
      </c>
      <c r="E30" s="15" t="s">
        <v>78</v>
      </c>
      <c r="F30" s="15" t="s">
        <v>79</v>
      </c>
      <c r="G30" s="15" t="s">
        <v>80</v>
      </c>
      <c r="H30" s="15" t="s">
        <v>159</v>
      </c>
      <c r="I30" s="15" t="s">
        <v>160</v>
      </c>
      <c r="J30" s="15" t="s">
        <v>161</v>
      </c>
      <c r="K30" s="15" t="s">
        <v>163</v>
      </c>
      <c r="L30" s="16" t="s">
        <v>84</v>
      </c>
      <c r="N30" s="87" t="s">
        <v>197</v>
      </c>
      <c r="O30" s="23" t="s">
        <v>75</v>
      </c>
      <c r="P30" s="15" t="s">
        <v>76</v>
      </c>
      <c r="Q30" s="15" t="s">
        <v>77</v>
      </c>
      <c r="R30" s="15" t="s">
        <v>78</v>
      </c>
      <c r="S30" s="15" t="s">
        <v>79</v>
      </c>
      <c r="T30" s="15" t="s">
        <v>80</v>
      </c>
      <c r="U30" s="15" t="s">
        <v>159</v>
      </c>
      <c r="V30" s="15" t="s">
        <v>160</v>
      </c>
      <c r="W30" s="15" t="s">
        <v>161</v>
      </c>
      <c r="X30" s="15" t="s">
        <v>163</v>
      </c>
      <c r="Y30" s="16" t="s">
        <v>84</v>
      </c>
    </row>
    <row r="31" spans="1:25" outlineLevel="1" x14ac:dyDescent="0.25">
      <c r="A31" s="21" t="str">
        <f>A18</f>
        <v>MG-SOYA</v>
      </c>
      <c r="B31" s="24">
        <f>'Intermédiaire_Prod-Résultats'!$D51</f>
        <v>1323.0705800000001</v>
      </c>
      <c r="C31" s="17">
        <f>'Intermédiaire_Prod-Résultats'!$G51</f>
        <v>972.63244000000032</v>
      </c>
      <c r="D31" s="17">
        <f>B31</f>
        <v>1323.0705800000001</v>
      </c>
      <c r="E31" s="17">
        <f>C31</f>
        <v>972.63244000000032</v>
      </c>
      <c r="F31" s="17">
        <f>D31</f>
        <v>1323.0705800000001</v>
      </c>
      <c r="G31" s="17">
        <f>E31</f>
        <v>972.63244000000032</v>
      </c>
      <c r="H31" s="46">
        <f>B31</f>
        <v>1323.0705800000001</v>
      </c>
      <c r="I31" s="46">
        <f>C31</f>
        <v>972.63244000000032</v>
      </c>
      <c r="J31" s="47" t="s">
        <v>162</v>
      </c>
      <c r="K31" s="47" t="s">
        <v>162</v>
      </c>
      <c r="L31" s="18">
        <f>AVERAGE(B31:J31)</f>
        <v>1147.8515100000004</v>
      </c>
      <c r="N31" s="21" t="str">
        <f>A31</f>
        <v>MG-SOYA</v>
      </c>
      <c r="O31" s="24">
        <f>'Intermédiaire_Prod-Résultats'!$E51</f>
        <v>1323.0705800000001</v>
      </c>
      <c r="P31" s="17">
        <f>'Intermédiaire_Prod-Résultats'!$H51</f>
        <v>972.63244000000032</v>
      </c>
      <c r="Q31" s="17">
        <f>O31</f>
        <v>1323.0705800000001</v>
      </c>
      <c r="R31" s="17">
        <f>P31</f>
        <v>972.63244000000032</v>
      </c>
      <c r="S31" s="17">
        <f>Q31</f>
        <v>1323.0705800000001</v>
      </c>
      <c r="T31" s="17">
        <f>R31</f>
        <v>972.63244000000032</v>
      </c>
      <c r="U31" s="46">
        <f>O31</f>
        <v>1323.0705800000001</v>
      </c>
      <c r="V31" s="46">
        <f>P31</f>
        <v>972.63244000000032</v>
      </c>
      <c r="W31" s="47" t="s">
        <v>162</v>
      </c>
      <c r="X31" s="47" t="s">
        <v>162</v>
      </c>
      <c r="Y31" s="18">
        <f t="shared" ref="Y31:Y37" si="6">AVERAGE(O31:W31)</f>
        <v>1147.8515100000004</v>
      </c>
    </row>
    <row r="32" spans="1:25" outlineLevel="1" x14ac:dyDescent="0.25">
      <c r="A32" s="21" t="str">
        <f t="shared" ref="A32:A37" si="7">A19</f>
        <v>MG-SOYA-BLÉ D'AUTOMNE PANIFIABLE</v>
      </c>
      <c r="B32" s="25">
        <f>'Intermédiaire_Prod-Résultats'!$D51</f>
        <v>1323.0705800000001</v>
      </c>
      <c r="C32" s="19">
        <f>'Intermédiaire_Prod-Résultats'!$G51</f>
        <v>972.63244000000032</v>
      </c>
      <c r="D32" s="19">
        <f>'Intermédiaire_Prod-Résultats'!$P51</f>
        <v>574.82709999999952</v>
      </c>
      <c r="E32" s="19">
        <f>'Intermédiaire_Prod-Résultats'!$AB51</f>
        <v>1593.3691679999999</v>
      </c>
      <c r="F32" s="19">
        <f>'Intermédiaire_Prod-Résultats'!$AE51</f>
        <v>1089.7676400000003</v>
      </c>
      <c r="G32" s="19">
        <f>'Intermédiaire_Prod-Résultats'!$AN51</f>
        <v>661.10339999999951</v>
      </c>
      <c r="H32" s="49">
        <f>'Intermédiaire_Prod-Résultats'!$AZ51</f>
        <v>1863.667756000001</v>
      </c>
      <c r="I32" s="49">
        <f>'Intermédiaire_Prod-Résultats'!$BC51</f>
        <v>1206.9028400000004</v>
      </c>
      <c r="J32" s="49">
        <f>'Intermédiaire_Prod-Résultats'!$BL51</f>
        <v>747.37969999999973</v>
      </c>
      <c r="K32" s="48" t="s">
        <v>162</v>
      </c>
      <c r="L32" s="20">
        <f>AVERAGE(B32:J32)</f>
        <v>1114.7467360000001</v>
      </c>
      <c r="N32" s="21" t="str">
        <f t="shared" ref="N32:N37" si="8">A32</f>
        <v>MG-SOYA-BLÉ D'AUTOMNE PANIFIABLE</v>
      </c>
      <c r="O32" s="25">
        <f>'Intermédiaire_Prod-Résultats'!$E51</f>
        <v>1323.0705800000001</v>
      </c>
      <c r="P32" s="19">
        <f>'Intermédiaire_Prod-Résultats'!$H51</f>
        <v>972.63244000000032</v>
      </c>
      <c r="Q32" s="19">
        <f>'Intermédiaire_Prod-Résultats'!$Q51</f>
        <v>574.82709999999952</v>
      </c>
      <c r="R32" s="19">
        <f>'Intermédiaire_Prod-Résultats'!$AC51</f>
        <v>1593.3691679999999</v>
      </c>
      <c r="S32" s="19">
        <f>'Intermédiaire_Prod-Résultats'!$AF51</f>
        <v>1089.7676400000003</v>
      </c>
      <c r="T32" s="19">
        <f>'Intermédiaire_Prod-Résultats'!$AO51</f>
        <v>661.10339999999951</v>
      </c>
      <c r="U32" s="49">
        <f>'Intermédiaire_Prod-Résultats'!$BA51</f>
        <v>1863.667756000001</v>
      </c>
      <c r="V32" s="49">
        <f>'Intermédiaire_Prod-Résultats'!$BD51</f>
        <v>1206.9028400000004</v>
      </c>
      <c r="W32" s="49">
        <f>'Intermédiaire_Prod-Résultats'!$BM51</f>
        <v>747.37969999999973</v>
      </c>
      <c r="X32" s="48" t="s">
        <v>162</v>
      </c>
      <c r="Y32" s="20">
        <f t="shared" si="6"/>
        <v>1114.7467360000001</v>
      </c>
    </row>
    <row r="33" spans="1:25" outlineLevel="1" x14ac:dyDescent="0.25">
      <c r="A33" s="21" t="str">
        <f t="shared" si="7"/>
        <v>MG-SOYA-BLÉ DE PRINTEMPS PANIFIABLE</v>
      </c>
      <c r="B33" s="25">
        <f>'Intermédiaire_Prod-Résultats'!$D51</f>
        <v>1323.0705800000001</v>
      </c>
      <c r="C33" s="19">
        <f>'Intermédiaire_Prod-Résultats'!$G51</f>
        <v>972.63244000000032</v>
      </c>
      <c r="D33" s="19">
        <f>'Intermédiaire_Prod-Résultats'!$S51</f>
        <v>213.31840000000005</v>
      </c>
      <c r="E33" s="19">
        <f>'Intermédiaire_Prod-Résultats'!$AB51</f>
        <v>1593.3691679999999</v>
      </c>
      <c r="F33" s="19">
        <f>'Intermédiaire_Prod-Résultats'!$AE51</f>
        <v>1089.7676400000003</v>
      </c>
      <c r="G33" s="19">
        <f>'Intermédiaire_Prod-Résultats'!$AQ51</f>
        <v>281.29652999999979</v>
      </c>
      <c r="H33" s="49">
        <f>'Intermédiaire_Prod-Résultats'!$AZ51</f>
        <v>1863.667756000001</v>
      </c>
      <c r="I33" s="49">
        <f>'Intermédiaire_Prod-Résultats'!$BC51</f>
        <v>1206.9028400000004</v>
      </c>
      <c r="J33" s="49">
        <f>'Intermédiaire_Prod-Résultats'!$BO51</f>
        <v>349.27465999999998</v>
      </c>
      <c r="K33" s="48" t="s">
        <v>162</v>
      </c>
      <c r="L33" s="20">
        <f>AVERAGE(B33:J33)</f>
        <v>988.14444600000002</v>
      </c>
      <c r="N33" s="21" t="str">
        <f t="shared" si="8"/>
        <v>MG-SOYA-BLÉ DE PRINTEMPS PANIFIABLE</v>
      </c>
      <c r="O33" s="25">
        <f>'Intermédiaire_Prod-Résultats'!$E51</f>
        <v>1323.0705800000001</v>
      </c>
      <c r="P33" s="19">
        <f>'Intermédiaire_Prod-Résultats'!$H51</f>
        <v>972.63244000000032</v>
      </c>
      <c r="Q33" s="19">
        <f>'Intermédiaire_Prod-Résultats'!$T51</f>
        <v>213.31840000000005</v>
      </c>
      <c r="R33" s="19">
        <f>'Intermédiaire_Prod-Résultats'!$AC51</f>
        <v>1593.3691679999999</v>
      </c>
      <c r="S33" s="19">
        <f>'Intermédiaire_Prod-Résultats'!$AF51</f>
        <v>1089.7676400000003</v>
      </c>
      <c r="T33" s="19">
        <f>'Intermédiaire_Prod-Résultats'!$AR51</f>
        <v>281.29652999999979</v>
      </c>
      <c r="U33" s="49">
        <f>'Intermédiaire_Prod-Résultats'!$BA51</f>
        <v>1863.667756000001</v>
      </c>
      <c r="V33" s="49">
        <f>'Intermédiaire_Prod-Résultats'!$BD51</f>
        <v>1206.9028400000004</v>
      </c>
      <c r="W33" s="49">
        <f>'Intermédiaire_Prod-Résultats'!$BP51</f>
        <v>349.27465999999998</v>
      </c>
      <c r="X33" s="48" t="s">
        <v>162</v>
      </c>
      <c r="Y33" s="20">
        <f t="shared" si="6"/>
        <v>988.14444600000002</v>
      </c>
    </row>
    <row r="34" spans="1:25" outlineLevel="1" x14ac:dyDescent="0.25">
      <c r="A34" s="21" t="str">
        <f t="shared" si="7"/>
        <v>MG-SOYA-ORGE</v>
      </c>
      <c r="B34" s="25">
        <f>'Intermédiaire_Prod-Résultats'!D51</f>
        <v>1323.0705800000001</v>
      </c>
      <c r="C34" s="19">
        <f>'Intermédiaire_Prod-Résultats'!G51</f>
        <v>972.63244000000032</v>
      </c>
      <c r="D34" s="19">
        <f>'Intermédiaire_Prod-Résultats'!J51</f>
        <v>-351.9935999999999</v>
      </c>
      <c r="E34" s="19">
        <f>'Intermédiaire_Prod-Résultats'!AB51</f>
        <v>1593.3691679999999</v>
      </c>
      <c r="F34" s="19">
        <f>'Intermédiaire_Prod-Résultats'!AE51</f>
        <v>1089.7676400000003</v>
      </c>
      <c r="G34" s="19">
        <f>'Intermédiaire_Prod-Résultats'!AH51</f>
        <v>-299.9597500000001</v>
      </c>
      <c r="H34" s="49">
        <f>'Intermédiaire_Prod-Résultats'!AZ51</f>
        <v>1863.667756000001</v>
      </c>
      <c r="I34" s="49">
        <f>'Intermédiaire_Prod-Résultats'!BC51</f>
        <v>1206.9028400000004</v>
      </c>
      <c r="J34" s="49">
        <f>'Intermédiaire_Prod-Résultats'!BF51</f>
        <v>-247.9259000000003</v>
      </c>
      <c r="K34" s="48" t="s">
        <v>162</v>
      </c>
      <c r="L34" s="20">
        <f>AVERAGE(B34:J34)</f>
        <v>794.39235266666685</v>
      </c>
      <c r="N34" s="21" t="str">
        <f t="shared" si="8"/>
        <v>MG-SOYA-ORGE</v>
      </c>
      <c r="O34" s="25">
        <f>'Intermédiaire_Prod-Résultats'!E51</f>
        <v>1323.0705800000001</v>
      </c>
      <c r="P34" s="19">
        <f>'Intermédiaire_Prod-Résultats'!H51</f>
        <v>972.63244000000032</v>
      </c>
      <c r="Q34" s="19">
        <f>'Intermédiaire_Prod-Résultats'!K51</f>
        <v>-351.9935999999999</v>
      </c>
      <c r="R34" s="19">
        <f>'Intermédiaire_Prod-Résultats'!AC51</f>
        <v>1593.3691679999999</v>
      </c>
      <c r="S34" s="19">
        <f>'Intermédiaire_Prod-Résultats'!AF51</f>
        <v>1089.7676400000003</v>
      </c>
      <c r="T34" s="19">
        <f>'Intermédiaire_Prod-Résultats'!AI51</f>
        <v>-299.9597500000001</v>
      </c>
      <c r="U34" s="49">
        <f>'Intermédiaire_Prod-Résultats'!BA51</f>
        <v>1863.667756000001</v>
      </c>
      <c r="V34" s="49">
        <f>'Intermédiaire_Prod-Résultats'!BD51</f>
        <v>1206.9028400000004</v>
      </c>
      <c r="W34" s="49">
        <f>'Intermédiaire_Prod-Résultats'!BG51</f>
        <v>-247.9259000000003</v>
      </c>
      <c r="X34" s="48" t="s">
        <v>162</v>
      </c>
      <c r="Y34" s="20">
        <f t="shared" si="6"/>
        <v>794.39235266666685</v>
      </c>
    </row>
    <row r="35" spans="1:25" outlineLevel="1" x14ac:dyDescent="0.25">
      <c r="A35" s="21" t="str">
        <f t="shared" si="7"/>
        <v>MG-SOYA-AVOINE</v>
      </c>
      <c r="B35" s="25">
        <f>'Intermédiaire_Prod-Résultats'!D51</f>
        <v>1323.0705800000001</v>
      </c>
      <c r="C35" s="19">
        <f>'Intermédiaire_Prod-Résultats'!G51</f>
        <v>972.63244000000032</v>
      </c>
      <c r="D35" s="19">
        <f>'Intermédiaire_Prod-Résultats'!M51</f>
        <v>-323.60849999999994</v>
      </c>
      <c r="E35" s="19">
        <f>'Intermédiaire_Prod-Résultats'!AB51</f>
        <v>1593.3691679999999</v>
      </c>
      <c r="F35" s="19">
        <f>'Intermédiaire_Prod-Résultats'!AE51</f>
        <v>1089.7676400000003</v>
      </c>
      <c r="G35" s="19">
        <f>'Intermédiaire_Prod-Résultats'!AK51</f>
        <v>-283.25532999999996</v>
      </c>
      <c r="H35" s="49">
        <f>'Intermédiaire_Prod-Résultats'!AZ51</f>
        <v>1863.667756000001</v>
      </c>
      <c r="I35" s="49">
        <f>'Intermédiaire_Prod-Résultats'!BC51</f>
        <v>1206.9028400000004</v>
      </c>
      <c r="J35" s="49">
        <f>'Intermédiaire_Prod-Résultats'!BI51</f>
        <v>-242.90216000000012</v>
      </c>
      <c r="K35" s="52" t="s">
        <v>162</v>
      </c>
      <c r="L35" s="20">
        <f>AVERAGE(B35:K35)</f>
        <v>799.96049266666682</v>
      </c>
      <c r="N35" s="21" t="str">
        <f t="shared" si="8"/>
        <v>MG-SOYA-AVOINE</v>
      </c>
      <c r="O35" s="25">
        <f>'Intermédiaire_Prod-Résultats'!E51</f>
        <v>1323.0705800000001</v>
      </c>
      <c r="P35" s="19">
        <f>'Intermédiaire_Prod-Résultats'!H51</f>
        <v>972.63244000000032</v>
      </c>
      <c r="Q35" s="19">
        <f>'Intermédiaire_Prod-Résultats'!N51</f>
        <v>-323.60849999999994</v>
      </c>
      <c r="R35" s="19">
        <f>'Intermédiaire_Prod-Résultats'!AC51</f>
        <v>1593.3691679999999</v>
      </c>
      <c r="S35" s="19">
        <f>'Intermédiaire_Prod-Résultats'!AF51</f>
        <v>1089.7676400000003</v>
      </c>
      <c r="T35" s="19">
        <f>'Intermédiaire_Prod-Résultats'!AL51</f>
        <v>-283.25532999999996</v>
      </c>
      <c r="U35" s="49">
        <f>'Intermédiaire_Prod-Résultats'!BA51</f>
        <v>1863.667756000001</v>
      </c>
      <c r="V35" s="49">
        <f>'Intermédiaire_Prod-Résultats'!BD51</f>
        <v>1206.9028400000004</v>
      </c>
      <c r="W35" s="49">
        <f>'Intermédiaire_Prod-Résultats'!BJ51</f>
        <v>-242.90216000000012</v>
      </c>
      <c r="X35" s="52" t="s">
        <v>162</v>
      </c>
      <c r="Y35" s="20">
        <f t="shared" si="6"/>
        <v>799.96049266666682</v>
      </c>
    </row>
    <row r="36" spans="1:25" outlineLevel="1" x14ac:dyDescent="0.25">
      <c r="A36" s="21" t="str">
        <f t="shared" si="7"/>
        <v>MG-SOYA-SEIGLE</v>
      </c>
      <c r="B36" s="25">
        <f>'Intermédiaire_Prod-Résultats'!D51</f>
        <v>1323.0705800000001</v>
      </c>
      <c r="C36" s="19">
        <f>'Intermédiaire_Prod-Résultats'!G51</f>
        <v>972.63244000000032</v>
      </c>
      <c r="D36" s="19">
        <f>'Intermédiaire_Prod-Résultats'!V51</f>
        <v>107.09009999999995</v>
      </c>
      <c r="E36" s="19">
        <f>'Intermédiaire_Prod-Résultats'!AB51</f>
        <v>1593.3691679999999</v>
      </c>
      <c r="F36" s="19">
        <f>'Intermédiaire_Prod-Résultats'!AE51</f>
        <v>1089.7676400000003</v>
      </c>
      <c r="G36" s="19">
        <f>'Intermédiaire_Prod-Résultats'!AT51</f>
        <v>154.97310000000004</v>
      </c>
      <c r="H36" s="49">
        <f>'Intermédiaire_Prod-Résultats'!AZ51</f>
        <v>1863.667756000001</v>
      </c>
      <c r="I36" s="49">
        <f>'Intermédiaire_Prod-Résultats'!BC51</f>
        <v>1206.9028400000004</v>
      </c>
      <c r="J36" s="49">
        <f>'Intermédiaire_Prod-Résultats'!BR51</f>
        <v>202.85610000000008</v>
      </c>
      <c r="K36" s="52" t="s">
        <v>162</v>
      </c>
      <c r="L36" s="20">
        <f>AVERAGE(B36:K36)</f>
        <v>946.03663600000027</v>
      </c>
      <c r="N36" s="21" t="str">
        <f t="shared" si="8"/>
        <v>MG-SOYA-SEIGLE</v>
      </c>
      <c r="O36" s="25">
        <f>'Intermédiaire_Prod-Résultats'!E51</f>
        <v>1323.0705800000001</v>
      </c>
      <c r="P36" s="19">
        <f>'Intermédiaire_Prod-Résultats'!H51</f>
        <v>972.63244000000032</v>
      </c>
      <c r="Q36" s="19">
        <f>'Intermédiaire_Prod-Résultats'!W51</f>
        <v>107.09009999999995</v>
      </c>
      <c r="R36" s="19">
        <f>'Intermédiaire_Prod-Résultats'!AC51</f>
        <v>1593.3691679999999</v>
      </c>
      <c r="S36" s="19">
        <f>'Intermédiaire_Prod-Résultats'!AF51</f>
        <v>1089.7676400000003</v>
      </c>
      <c r="T36" s="19">
        <f>'Intermédiaire_Prod-Résultats'!AU51</f>
        <v>154.97310000000004</v>
      </c>
      <c r="U36" s="49">
        <f>'Intermédiaire_Prod-Résultats'!BA51</f>
        <v>1863.667756000001</v>
      </c>
      <c r="V36" s="49">
        <f>'Intermédiaire_Prod-Résultats'!BD51</f>
        <v>1206.9028400000004</v>
      </c>
      <c r="W36" s="49">
        <f>'Intermédiaire_Prod-Résultats'!BS51</f>
        <v>202.85610000000008</v>
      </c>
      <c r="X36" s="52" t="s">
        <v>162</v>
      </c>
      <c r="Y36" s="20">
        <f t="shared" si="6"/>
        <v>946.03663600000027</v>
      </c>
    </row>
    <row r="37" spans="1:25" outlineLevel="1" x14ac:dyDescent="0.25">
      <c r="A37" s="21" t="str">
        <f t="shared" si="7"/>
        <v>MG-SOYA-SEIGLE HYBRIDE D'AUTOMNE</v>
      </c>
      <c r="B37" s="25">
        <f>'Intermédiaire_Prod-Résultats'!D51</f>
        <v>1323.0705800000001</v>
      </c>
      <c r="C37" s="19">
        <f>'Intermédiaire_Prod-Résultats'!G51</f>
        <v>972.63244000000032</v>
      </c>
      <c r="D37" s="19">
        <f>'Intermédiaire_Prod-Résultats'!Y51</f>
        <v>739.94900000000018</v>
      </c>
      <c r="E37" s="19">
        <f>'Intermédiaire_Prod-Résultats'!AB51</f>
        <v>1593.3691679999999</v>
      </c>
      <c r="F37" s="19">
        <f>'Intermédiaire_Prod-Résultats'!AE51</f>
        <v>1089.7676400000003</v>
      </c>
      <c r="G37" s="19">
        <f>'Intermédiaire_Prod-Résultats'!AW51</f>
        <v>822.59200000000021</v>
      </c>
      <c r="H37" s="49">
        <f>'Intermédiaire_Prod-Résultats'!AZ51</f>
        <v>1863.667756000001</v>
      </c>
      <c r="I37" s="49">
        <f>'Intermédiaire_Prod-Résultats'!BC51</f>
        <v>1206.9028400000004</v>
      </c>
      <c r="J37" s="49">
        <f>'Intermédiaire_Prod-Résultats'!BU51</f>
        <v>905.23500000000001</v>
      </c>
      <c r="K37" s="52" t="s">
        <v>162</v>
      </c>
      <c r="L37" s="20">
        <f>AVERAGE(B37:K37)</f>
        <v>1168.5762693333336</v>
      </c>
      <c r="N37" s="21" t="str">
        <f t="shared" si="8"/>
        <v>MG-SOYA-SEIGLE HYBRIDE D'AUTOMNE</v>
      </c>
      <c r="O37" s="25">
        <f>'Intermédiaire_Prod-Résultats'!E51</f>
        <v>1323.0705800000001</v>
      </c>
      <c r="P37" s="19">
        <f>'Intermédiaire_Prod-Résultats'!H51</f>
        <v>972.63244000000032</v>
      </c>
      <c r="Q37" s="19">
        <f>'Intermédiaire_Prod-Résultats'!Z51</f>
        <v>739.94900000000018</v>
      </c>
      <c r="R37" s="19">
        <f>'Intermédiaire_Prod-Résultats'!AC51</f>
        <v>1593.3691679999999</v>
      </c>
      <c r="S37" s="19">
        <f>'Intermédiaire_Prod-Résultats'!AF51</f>
        <v>1089.7676400000003</v>
      </c>
      <c r="T37" s="19">
        <f>'Intermédiaire_Prod-Résultats'!AX51</f>
        <v>822.59200000000021</v>
      </c>
      <c r="U37" s="49">
        <f>'Intermédiaire_Prod-Résultats'!BA51</f>
        <v>1863.667756000001</v>
      </c>
      <c r="V37" s="49">
        <f>'Intermédiaire_Prod-Résultats'!BD51</f>
        <v>1206.9028400000004</v>
      </c>
      <c r="W37" s="49">
        <f>'Intermédiaire_Prod-Résultats'!BV51</f>
        <v>905.23500000000001</v>
      </c>
      <c r="X37" s="52" t="s">
        <v>162</v>
      </c>
      <c r="Y37" s="20">
        <f t="shared" si="6"/>
        <v>1168.5762693333336</v>
      </c>
    </row>
  </sheetData>
  <dataConsolidate/>
  <mergeCells count="30">
    <mergeCell ref="U29:W29"/>
    <mergeCell ref="B29:D29"/>
    <mergeCell ref="E29:G29"/>
    <mergeCell ref="H29:J29"/>
    <mergeCell ref="O29:Q29"/>
    <mergeCell ref="R29:T29"/>
    <mergeCell ref="R3:T3"/>
    <mergeCell ref="U3:W3"/>
    <mergeCell ref="B16:D16"/>
    <mergeCell ref="E16:G16"/>
    <mergeCell ref="H16:J16"/>
    <mergeCell ref="O16:Q16"/>
    <mergeCell ref="R16:T16"/>
    <mergeCell ref="U16:W16"/>
    <mergeCell ref="A27:L27"/>
    <mergeCell ref="A28:L28"/>
    <mergeCell ref="N2:Y2"/>
    <mergeCell ref="N1:Y1"/>
    <mergeCell ref="N15:Y15"/>
    <mergeCell ref="N14:Y14"/>
    <mergeCell ref="A1:L1"/>
    <mergeCell ref="A2:L2"/>
    <mergeCell ref="A14:L14"/>
    <mergeCell ref="A15:L15"/>
    <mergeCell ref="N27:Y27"/>
    <mergeCell ref="N28:Y28"/>
    <mergeCell ref="B3:D3"/>
    <mergeCell ref="E3:G3"/>
    <mergeCell ref="H3:J3"/>
    <mergeCell ref="O3:Q3"/>
  </mergeCells>
  <phoneticPr fontId="6" type="noConversion"/>
  <pageMargins left="0.7" right="0.7" top="0.75" bottom="0.75" header="0.3" footer="0.3"/>
  <pageSetup orientation="portrait"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F059C-CA09-434C-A60C-0046E4786A81}">
  <sheetPr>
    <tabColor theme="5" tint="0.79998168889431442"/>
  </sheetPr>
  <dimension ref="A1:U70"/>
  <sheetViews>
    <sheetView tabSelected="1" topLeftCell="A23" zoomScale="110" zoomScaleNormal="110" workbookViewId="0">
      <selection activeCell="D27" sqref="D27"/>
    </sheetView>
  </sheetViews>
  <sheetFormatPr baseColWidth="10" defaultColWidth="10.85546875" defaultRowHeight="15" x14ac:dyDescent="0.25"/>
  <cols>
    <col min="1" max="1" width="36.42578125" customWidth="1"/>
    <col min="5" max="5" width="15" customWidth="1"/>
    <col min="17" max="17" width="36.140625" customWidth="1"/>
    <col min="18" max="18" width="10.85546875" customWidth="1"/>
    <col min="21" max="21" width="16.85546875" customWidth="1"/>
  </cols>
  <sheetData>
    <row r="1" spans="1:21" x14ac:dyDescent="0.25">
      <c r="A1" s="111" t="s">
        <v>206</v>
      </c>
      <c r="B1" s="111"/>
      <c r="C1" s="111"/>
      <c r="D1" s="111"/>
      <c r="E1" s="111"/>
      <c r="Q1" s="114" t="s">
        <v>214</v>
      </c>
      <c r="R1" s="114"/>
      <c r="S1" s="114"/>
      <c r="T1" s="114"/>
      <c r="U1" s="114"/>
    </row>
    <row r="2" spans="1:21" ht="45" x14ac:dyDescent="0.25">
      <c r="A2" s="68" t="s">
        <v>197</v>
      </c>
      <c r="B2" s="79" t="s">
        <v>202</v>
      </c>
      <c r="C2" s="80" t="s">
        <v>203</v>
      </c>
      <c r="D2" s="81" t="s">
        <v>204</v>
      </c>
      <c r="E2" s="82" t="s">
        <v>205</v>
      </c>
      <c r="Q2" s="83" t="s">
        <v>197</v>
      </c>
      <c r="R2" s="79" t="s">
        <v>202</v>
      </c>
      <c r="S2" s="80" t="s">
        <v>203</v>
      </c>
      <c r="T2" s="81" t="s">
        <v>204</v>
      </c>
      <c r="U2" s="82" t="s">
        <v>205</v>
      </c>
    </row>
    <row r="3" spans="1:21" x14ac:dyDescent="0.25">
      <c r="A3" s="60" t="str">
        <f>'Résultats détaillés'!A5</f>
        <v>MG-SOYA</v>
      </c>
      <c r="B3" s="69">
        <f>'Résultats détaillés'!$L$5</f>
        <v>1880.3265100000003</v>
      </c>
      <c r="C3" s="69">
        <f>'Résultats détaillés'!$L$5</f>
        <v>1880.3265100000003</v>
      </c>
      <c r="D3" s="70">
        <f>'Résultats détaillés'!$L$5</f>
        <v>1880.3265100000003</v>
      </c>
      <c r="E3" s="70">
        <f t="shared" ref="E3:E9" si="0">AVERAGE(B3:D3)</f>
        <v>1880.3265100000001</v>
      </c>
      <c r="Q3" s="60" t="str">
        <f>'Résultats détaillés'!N5</f>
        <v>MG-SOYA</v>
      </c>
      <c r="R3" s="69">
        <f>'Résultats détaillés'!$Y$5</f>
        <v>1880.3265100000003</v>
      </c>
      <c r="S3" s="69">
        <f>'Résultats détaillés'!$Y$5</f>
        <v>1880.3265100000003</v>
      </c>
      <c r="T3" s="70">
        <f>'Résultats détaillés'!$Y$5</f>
        <v>1880.3265100000003</v>
      </c>
      <c r="U3" s="70">
        <f t="shared" ref="U3:U9" si="1">AVERAGE(R3:T3)</f>
        <v>1880.3265100000001</v>
      </c>
    </row>
    <row r="4" spans="1:21" x14ac:dyDescent="0.25">
      <c r="A4" s="61" t="str">
        <f>'Résultats détaillés'!A6</f>
        <v>MG-SOYA-BLÉ D'AUTOMNE PANIFIABLE</v>
      </c>
      <c r="B4" s="71">
        <f>AVERAGE('Résultats détaillés'!B6:D6)</f>
        <v>1584.9633733333333</v>
      </c>
      <c r="C4" s="71">
        <f>AVERAGE('Résultats détaillés'!E6:G6)</f>
        <v>1742.8667359999999</v>
      </c>
      <c r="D4" s="72">
        <f>AVERAGE('Résultats détaillés'!H6:J6)</f>
        <v>1900.7700986666671</v>
      </c>
      <c r="E4" s="72">
        <f t="shared" si="0"/>
        <v>1742.8667359999999</v>
      </c>
      <c r="Q4" s="61" t="str">
        <f>'Résultats détaillés'!N6</f>
        <v>MG-SOYA-BLÉ D'AUTOMNE PANIFIABLE</v>
      </c>
      <c r="R4" s="71">
        <f>AVERAGE('Résultats détaillés'!O6:Q6)</f>
        <v>1584.9633733333333</v>
      </c>
      <c r="S4" s="71">
        <f>AVERAGE('Résultats détaillés'!R6:T6)</f>
        <v>1742.8667359999999</v>
      </c>
      <c r="T4" s="72">
        <f>AVERAGE('Résultats détaillés'!U6:W6)</f>
        <v>1900.7700986666671</v>
      </c>
      <c r="U4" s="72">
        <f t="shared" si="1"/>
        <v>1742.8667359999999</v>
      </c>
    </row>
    <row r="5" spans="1:21" x14ac:dyDescent="0.25">
      <c r="A5" s="61" t="str">
        <f>'Résultats détaillés'!A7</f>
        <v>MG-SOYA-BLÉ DE PRINTEMPS PANIFIABLE</v>
      </c>
      <c r="B5" s="71">
        <f>AVERAGE('Résultats détaillés'!B7:D7)</f>
        <v>1464.4604733333335</v>
      </c>
      <c r="C5" s="71">
        <f>AVERAGE('Résultats détaillés'!E7:G7)</f>
        <v>1616.2644459999999</v>
      </c>
      <c r="D5" s="72">
        <f>AVERAGE('Résultats détaillés'!H7:J7)</f>
        <v>1768.068418666667</v>
      </c>
      <c r="E5" s="72">
        <f t="shared" si="0"/>
        <v>1616.2644460000001</v>
      </c>
      <c r="Q5" s="61" t="str">
        <f>'Résultats détaillés'!N7</f>
        <v>MG-SOYA-BLÉ DE PRINTEMPS PANIFIABLE</v>
      </c>
      <c r="R5" s="71">
        <f>AVERAGE('Résultats détaillés'!O7:Q7)</f>
        <v>1464.4604733333335</v>
      </c>
      <c r="S5" s="71">
        <f>AVERAGE('Résultats détaillés'!R7:T7)</f>
        <v>1616.2644459999999</v>
      </c>
      <c r="T5" s="72">
        <f>AVERAGE('Résultats détaillés'!U7:W7)</f>
        <v>1768.068418666667</v>
      </c>
      <c r="U5" s="72">
        <f t="shared" si="1"/>
        <v>1616.2644460000001</v>
      </c>
    </row>
    <row r="6" spans="1:21" x14ac:dyDescent="0.25">
      <c r="A6" s="61" t="str">
        <f>'Résultats détaillés'!A8</f>
        <v>MG-SOYA-ORGE</v>
      </c>
      <c r="B6" s="71">
        <f>AVERAGE('Résultats détaillés'!B8:D8)</f>
        <v>1353.2831400000002</v>
      </c>
      <c r="C6" s="71">
        <f>AVERAGE('Résultats détaillés'!E8:G8)</f>
        <v>1499.7723526666666</v>
      </c>
      <c r="D6" s="72">
        <f>AVERAGE('Résultats détaillés'!H8:J8)</f>
        <v>1646.2615653333335</v>
      </c>
      <c r="E6" s="72">
        <f t="shared" si="0"/>
        <v>1499.7723526666668</v>
      </c>
      <c r="Q6" s="61" t="str">
        <f>'Résultats détaillés'!N8</f>
        <v>MG-SOYA-ORGE</v>
      </c>
      <c r="R6" s="71">
        <f>AVERAGE('Résultats détaillés'!O8:Q8)</f>
        <v>1353.2831400000002</v>
      </c>
      <c r="S6" s="71">
        <f>AVERAGE('Résultats détaillés'!R8:T8)</f>
        <v>1499.7723526666666</v>
      </c>
      <c r="T6" s="72">
        <f>AVERAGE('Résultats détaillés'!U8:W8)</f>
        <v>1646.2615653333335</v>
      </c>
      <c r="U6" s="72">
        <f t="shared" si="1"/>
        <v>1499.7723526666668</v>
      </c>
    </row>
    <row r="7" spans="1:21" x14ac:dyDescent="0.25">
      <c r="A7" s="61" t="str">
        <f>'Résultats détaillés'!A9</f>
        <v>MG-SOYA-AVOINE</v>
      </c>
      <c r="B7" s="71">
        <f>AVERAGE('Résultats détaillés'!B9:D9)</f>
        <v>1329.9915066666667</v>
      </c>
      <c r="C7" s="71">
        <f>AVERAGE('Résultats détaillés'!E9:G9)</f>
        <v>1472.5871593333334</v>
      </c>
      <c r="D7" s="72">
        <f>AVERAGE('Résultats détaillés'!H9:J9)</f>
        <v>1615.1828120000002</v>
      </c>
      <c r="E7" s="72">
        <f t="shared" si="0"/>
        <v>1472.5871593333334</v>
      </c>
      <c r="Q7" s="61" t="str">
        <f>'Résultats détaillés'!N9</f>
        <v>MG-SOYA-AVOINE</v>
      </c>
      <c r="R7" s="71">
        <f>AVERAGE('Résultats détaillés'!O9:Q9)</f>
        <v>1329.9915066666667</v>
      </c>
      <c r="S7" s="71">
        <f>AVERAGE('Résultats détaillés'!R9:T9)</f>
        <v>1472.5871593333334</v>
      </c>
      <c r="T7" s="72">
        <f>AVERAGE('Résultats détaillés'!U9:W9)</f>
        <v>1615.1828120000002</v>
      </c>
      <c r="U7" s="72">
        <f t="shared" si="1"/>
        <v>1472.5871593333334</v>
      </c>
    </row>
    <row r="8" spans="1:21" x14ac:dyDescent="0.25">
      <c r="A8" s="61" t="str">
        <f>'Résultats détaillés'!A10</f>
        <v>MG-SOYA-SEIGLE</v>
      </c>
      <c r="B8" s="71">
        <f>AVERAGE('Résultats détaillés'!B10:D10)</f>
        <v>1438.7310399999999</v>
      </c>
      <c r="C8" s="71">
        <f>AVERAGE('Résultats détaillés'!E10:G10)</f>
        <v>1583.836636</v>
      </c>
      <c r="D8" s="72">
        <f>AVERAGE('Résultats détaillés'!H10:J10)</f>
        <v>1728.9422320000003</v>
      </c>
      <c r="E8" s="72">
        <f t="shared" si="0"/>
        <v>1583.836636</v>
      </c>
      <c r="Q8" s="61" t="str">
        <f>'Résultats détaillés'!N10</f>
        <v>MG-SOYA-SEIGLE</v>
      </c>
      <c r="R8" s="71">
        <f>AVERAGE('Résultats détaillés'!O10:Q10)</f>
        <v>1438.7310399999999</v>
      </c>
      <c r="S8" s="71">
        <f>AVERAGE('Résultats détaillés'!R10:T10)</f>
        <v>1583.836636</v>
      </c>
      <c r="T8" s="72">
        <f>AVERAGE('Résultats détaillés'!U10:W10)</f>
        <v>1728.9422320000003</v>
      </c>
      <c r="U8" s="72">
        <f t="shared" si="1"/>
        <v>1583.836636</v>
      </c>
    </row>
    <row r="9" spans="1:21" x14ac:dyDescent="0.25">
      <c r="A9" s="62" t="str">
        <f>'Résultats détaillés'!A11</f>
        <v>MG-SOYA-SEIGLE HYBRIDE D'AUTOMNE</v>
      </c>
      <c r="B9" s="73">
        <f>AVERAGE('Résultats détaillés'!B11:D11)</f>
        <v>1649.6840066666666</v>
      </c>
      <c r="C9" s="73">
        <f>AVERAGE('Résultats détaillés'!E11:G11)</f>
        <v>1806.3762693333335</v>
      </c>
      <c r="D9" s="74">
        <f>AVERAGE('Résultats détaillés'!H11:J11)</f>
        <v>1963.0685320000005</v>
      </c>
      <c r="E9" s="74">
        <f t="shared" si="0"/>
        <v>1806.3762693333335</v>
      </c>
      <c r="Q9" s="62" t="str">
        <f>'Résultats détaillés'!N11</f>
        <v>MG-SOYA-SEIGLE HYBRIDE D'AUTOMNE</v>
      </c>
      <c r="R9" s="73">
        <f>AVERAGE('Résultats détaillés'!O11:Q11)</f>
        <v>1649.6840066666666</v>
      </c>
      <c r="S9" s="73">
        <f>AVERAGE('Résultats détaillés'!R11:T11)</f>
        <v>1806.3762693333335</v>
      </c>
      <c r="T9" s="73">
        <f>AVERAGE('Résultats détaillés'!U11:W11)</f>
        <v>1963.0685320000005</v>
      </c>
      <c r="U9" s="74">
        <f t="shared" si="1"/>
        <v>1806.3762693333335</v>
      </c>
    </row>
    <row r="10" spans="1:21" x14ac:dyDescent="0.25">
      <c r="T10" s="3"/>
    </row>
    <row r="30" spans="1:21" x14ac:dyDescent="0.25">
      <c r="A30" s="112" t="s">
        <v>212</v>
      </c>
      <c r="B30" s="112"/>
      <c r="C30" s="112"/>
      <c r="D30" s="112"/>
      <c r="E30" s="112"/>
      <c r="Q30" s="115" t="s">
        <v>215</v>
      </c>
      <c r="R30" s="115"/>
      <c r="S30" s="115"/>
      <c r="T30" s="115"/>
      <c r="U30" s="115"/>
    </row>
    <row r="31" spans="1:21" ht="45" x14ac:dyDescent="0.25">
      <c r="A31" s="75" t="s">
        <v>197</v>
      </c>
      <c r="B31" s="79" t="s">
        <v>202</v>
      </c>
      <c r="C31" s="80" t="s">
        <v>203</v>
      </c>
      <c r="D31" s="81" t="s">
        <v>204</v>
      </c>
      <c r="E31" s="82" t="s">
        <v>205</v>
      </c>
      <c r="Q31" s="84" t="s">
        <v>197</v>
      </c>
      <c r="R31" s="79" t="s">
        <v>202</v>
      </c>
      <c r="S31" s="80" t="s">
        <v>203</v>
      </c>
      <c r="T31" s="81" t="s">
        <v>204</v>
      </c>
      <c r="U31" s="82" t="s">
        <v>205</v>
      </c>
    </row>
    <row r="32" spans="1:21" x14ac:dyDescent="0.25">
      <c r="A32" s="60" t="str">
        <f>'Résultats détaillés'!A18</f>
        <v>MG-SOYA</v>
      </c>
      <c r="B32" s="69">
        <f>'Résultats détaillés'!$L$18</f>
        <v>1665.3515100000004</v>
      </c>
      <c r="C32" s="69">
        <f>'Résultats détaillés'!$L$18</f>
        <v>1665.3515100000004</v>
      </c>
      <c r="D32" s="70">
        <f>'Résultats détaillés'!$L$18</f>
        <v>1665.3515100000004</v>
      </c>
      <c r="E32" s="70">
        <f t="shared" ref="E32:E38" si="2">AVERAGE(B32:D32)</f>
        <v>1665.3515100000004</v>
      </c>
      <c r="Q32" s="60" t="str">
        <f>'Résultats détaillés'!N18</f>
        <v>MG-SOYA</v>
      </c>
      <c r="R32" s="69">
        <f>'Résultats détaillés'!$Y$18</f>
        <v>1665.3515100000004</v>
      </c>
      <c r="S32" s="69">
        <f>'Résultats détaillés'!$Y$18</f>
        <v>1665.3515100000004</v>
      </c>
      <c r="T32" s="70">
        <f>'Résultats détaillés'!$Y$18</f>
        <v>1665.3515100000004</v>
      </c>
      <c r="U32" s="70">
        <f t="shared" ref="U32:U38" si="3">AVERAGE(R32:T32)</f>
        <v>1665.3515100000004</v>
      </c>
    </row>
    <row r="33" spans="1:21" x14ac:dyDescent="0.25">
      <c r="A33" s="61" t="str">
        <f>'Résultats détaillés'!A19</f>
        <v>MG-SOYA-BLÉ D'AUTOMNE PANIFIABLE</v>
      </c>
      <c r="B33" s="71">
        <f>AVERAGE('Résultats détaillés'!B19:D19)</f>
        <v>1399.43004</v>
      </c>
      <c r="C33" s="71">
        <f>AVERAGE('Résultats détaillés'!E19:G19)</f>
        <v>1557.3334026666664</v>
      </c>
      <c r="D33" s="72">
        <f>AVERAGE('Résultats détaillés'!H19:J19)</f>
        <v>1715.2367653333338</v>
      </c>
      <c r="E33" s="72">
        <f t="shared" si="2"/>
        <v>1557.3334026666669</v>
      </c>
      <c r="Q33" s="61" t="str">
        <f>'Résultats détaillés'!N19</f>
        <v>MG-SOYA-BLÉ D'AUTOMNE PANIFIABLE</v>
      </c>
      <c r="R33" s="71">
        <f>AVERAGE('Résultats détaillés'!O19:Q19)</f>
        <v>1399.43004</v>
      </c>
      <c r="S33" s="71">
        <f>AVERAGE('Résultats détaillés'!R19:T19)</f>
        <v>1557.3334026666664</v>
      </c>
      <c r="T33" s="72">
        <f>AVERAGE('Résultats détaillés'!U19:W19)</f>
        <v>1715.2367653333338</v>
      </c>
      <c r="U33" s="72">
        <f t="shared" si="3"/>
        <v>1557.3334026666669</v>
      </c>
    </row>
    <row r="34" spans="1:21" x14ac:dyDescent="0.25">
      <c r="A34" s="61" t="str">
        <f>'Résultats détaillés'!A20</f>
        <v>MG-SOYA-BLÉ DE PRINTEMPS PANIFIABLE</v>
      </c>
      <c r="B34" s="71">
        <f>AVERAGE('Résultats détaillés'!B20:D20)</f>
        <v>1278.92714</v>
      </c>
      <c r="C34" s="71">
        <f>AVERAGE('Résultats détaillés'!E20:G20)</f>
        <v>1430.7311126666666</v>
      </c>
      <c r="D34" s="72">
        <f>AVERAGE('Résultats détaillés'!H20:J20)</f>
        <v>1582.5350853333339</v>
      </c>
      <c r="E34" s="72">
        <f t="shared" si="2"/>
        <v>1430.7311126666671</v>
      </c>
      <c r="Q34" s="61" t="str">
        <f>'Résultats détaillés'!N20</f>
        <v>MG-SOYA-BLÉ DE PRINTEMPS PANIFIABLE</v>
      </c>
      <c r="R34" s="71">
        <f>AVERAGE('Résultats détaillés'!O20:Q20)</f>
        <v>1278.92714</v>
      </c>
      <c r="S34" s="71">
        <f>AVERAGE('Résultats détaillés'!R20:T20)</f>
        <v>1430.7311126666666</v>
      </c>
      <c r="T34" s="72">
        <f>AVERAGE('Résultats détaillés'!U20:W20)</f>
        <v>1582.5350853333339</v>
      </c>
      <c r="U34" s="72">
        <f t="shared" si="3"/>
        <v>1430.7311126666671</v>
      </c>
    </row>
    <row r="35" spans="1:21" x14ac:dyDescent="0.25">
      <c r="A35" s="61" t="str">
        <f>'Résultats détaillés'!A21</f>
        <v>MG-SOYA-ORGE</v>
      </c>
      <c r="B35" s="71">
        <f>AVERAGE('Résultats détaillés'!B21:D21)</f>
        <v>1150.2598066666669</v>
      </c>
      <c r="C35" s="71">
        <f>AVERAGE('Résultats détaillés'!E21:G21)</f>
        <v>1296.7490193333333</v>
      </c>
      <c r="D35" s="72">
        <f>AVERAGE('Résultats détaillés'!H21:J21)</f>
        <v>1443.2382320000004</v>
      </c>
      <c r="E35" s="72">
        <f t="shared" si="2"/>
        <v>1296.7490193333335</v>
      </c>
      <c r="Q35" s="61" t="str">
        <f>'Résultats détaillés'!N21</f>
        <v>MG-SOYA-ORGE</v>
      </c>
      <c r="R35" s="71">
        <f>AVERAGE('Résultats détaillés'!O21:Q21)</f>
        <v>1150.2598066666669</v>
      </c>
      <c r="S35" s="71">
        <f>AVERAGE('Résultats détaillés'!R21:T21)</f>
        <v>1296.7490193333333</v>
      </c>
      <c r="T35" s="72">
        <f>AVERAGE('Résultats détaillés'!U21:W21)</f>
        <v>1443.2382320000004</v>
      </c>
      <c r="U35" s="72">
        <f t="shared" si="3"/>
        <v>1296.7490193333335</v>
      </c>
    </row>
    <row r="36" spans="1:21" x14ac:dyDescent="0.25">
      <c r="A36" s="61" t="str">
        <f>'Résultats détaillés'!A22</f>
        <v>MG-SOYA-AVOINE</v>
      </c>
      <c r="B36" s="71">
        <f>AVERAGE('Résultats détaillés'!B22:D22)</f>
        <v>1130.0848400000002</v>
      </c>
      <c r="C36" s="71">
        <f>AVERAGE('Résultats détaillés'!E22:G22)</f>
        <v>1272.6804926666666</v>
      </c>
      <c r="D36" s="72">
        <f>AVERAGE('Résultats détaillés'!H22:J22)</f>
        <v>1415.2761453333339</v>
      </c>
      <c r="E36" s="72">
        <f t="shared" si="2"/>
        <v>1272.6804926666671</v>
      </c>
      <c r="Q36" s="61" t="str">
        <f>'Résultats détaillés'!N22</f>
        <v>MG-SOYA-AVOINE</v>
      </c>
      <c r="R36" s="71">
        <f>AVERAGE('Résultats détaillés'!O22:Q22)</f>
        <v>1130.0848400000002</v>
      </c>
      <c r="S36" s="71">
        <f>AVERAGE('Résultats détaillés'!R22:T22)</f>
        <v>1272.6804926666666</v>
      </c>
      <c r="T36" s="72">
        <f>AVERAGE('Résultats détaillés'!U22:W22)</f>
        <v>1415.2761453333339</v>
      </c>
      <c r="U36" s="72">
        <f t="shared" si="3"/>
        <v>1272.6804926666671</v>
      </c>
    </row>
    <row r="37" spans="1:21" x14ac:dyDescent="0.25">
      <c r="A37" s="61" t="str">
        <f>'Résultats détaillés'!A23</f>
        <v>MG-SOYA-SEIGLE</v>
      </c>
      <c r="B37" s="71">
        <f>AVERAGE('Résultats détaillés'!B23:D23)</f>
        <v>1270.6477066666669</v>
      </c>
      <c r="C37" s="71">
        <f>AVERAGE('Résultats détaillés'!E23:G23)</f>
        <v>1415.7533026666667</v>
      </c>
      <c r="D37" s="72">
        <f>AVERAGE('Résultats détaillés'!H23:J23)</f>
        <v>1560.8588986666673</v>
      </c>
      <c r="E37" s="72">
        <f t="shared" si="2"/>
        <v>1415.753302666667</v>
      </c>
      <c r="Q37" s="61" t="str">
        <f>'Résultats détaillés'!N23</f>
        <v>MG-SOYA-SEIGLE</v>
      </c>
      <c r="R37" s="71">
        <f>AVERAGE('Résultats détaillés'!O23:Q23)</f>
        <v>1270.6477066666669</v>
      </c>
      <c r="S37" s="71">
        <f>AVERAGE('Résultats détaillés'!R23:T23)</f>
        <v>1415.7533026666667</v>
      </c>
      <c r="T37" s="72">
        <f>AVERAGE('Résultats détaillés'!U23:W23)</f>
        <v>1560.8588986666673</v>
      </c>
      <c r="U37" s="72">
        <f t="shared" si="3"/>
        <v>1415.753302666667</v>
      </c>
    </row>
    <row r="38" spans="1:21" x14ac:dyDescent="0.25">
      <c r="A38" s="62" t="str">
        <f>'Résultats détaillés'!A24</f>
        <v>MG-SOYA-SEIGLE HYBRIDE D'AUTOMNE</v>
      </c>
      <c r="B38" s="73">
        <f>AVERAGE('Résultats détaillés'!B24:D24)</f>
        <v>1481.6006733333336</v>
      </c>
      <c r="C38" s="73">
        <f>AVERAGE('Résultats détaillés'!E24:G24)</f>
        <v>1638.2929360000001</v>
      </c>
      <c r="D38" s="74">
        <f>AVERAGE('Résultats détaillés'!H24:J24)</f>
        <v>1794.9851986666672</v>
      </c>
      <c r="E38" s="74">
        <f t="shared" si="2"/>
        <v>1638.2929360000005</v>
      </c>
      <c r="Q38" s="62" t="str">
        <f>'Résultats détaillés'!N24</f>
        <v>MG-SOYA-SEIGLE HYBRIDE D'AUTOMNE</v>
      </c>
      <c r="R38" s="73">
        <f>AVERAGE('Résultats détaillés'!O24:Q24)</f>
        <v>1481.6006733333336</v>
      </c>
      <c r="S38" s="73">
        <f>AVERAGE('Résultats détaillés'!R24:T24)</f>
        <v>1638.2929360000001</v>
      </c>
      <c r="T38" s="73">
        <f>AVERAGE('Résultats détaillés'!U24:W24)</f>
        <v>1794.9851986666672</v>
      </c>
      <c r="U38" s="74">
        <f t="shared" si="3"/>
        <v>1638.2929360000005</v>
      </c>
    </row>
    <row r="62" spans="1:21" ht="30.6" customHeight="1" x14ac:dyDescent="0.25">
      <c r="A62" s="113" t="s">
        <v>213</v>
      </c>
      <c r="B62" s="113"/>
      <c r="C62" s="113"/>
      <c r="D62" s="113"/>
      <c r="E62" s="113"/>
      <c r="Q62" s="116" t="s">
        <v>216</v>
      </c>
      <c r="R62" s="116"/>
      <c r="S62" s="116"/>
      <c r="T62" s="116"/>
      <c r="U62" s="116"/>
    </row>
    <row r="63" spans="1:21" ht="45" x14ac:dyDescent="0.25">
      <c r="A63" s="76" t="s">
        <v>197</v>
      </c>
      <c r="B63" s="79" t="s">
        <v>202</v>
      </c>
      <c r="C63" s="80" t="s">
        <v>203</v>
      </c>
      <c r="D63" s="81" t="s">
        <v>204</v>
      </c>
      <c r="E63" s="82" t="s">
        <v>205</v>
      </c>
      <c r="Q63" s="85" t="s">
        <v>197</v>
      </c>
      <c r="R63" s="79" t="s">
        <v>202</v>
      </c>
      <c r="S63" s="80" t="s">
        <v>203</v>
      </c>
      <c r="T63" s="81" t="s">
        <v>204</v>
      </c>
      <c r="U63" s="82" t="s">
        <v>205</v>
      </c>
    </row>
    <row r="64" spans="1:21" x14ac:dyDescent="0.25">
      <c r="A64" s="60" t="str">
        <f>'Résultats détaillés'!A31</f>
        <v>MG-SOYA</v>
      </c>
      <c r="B64" s="69">
        <f>'Résultats détaillés'!$L$31</f>
        <v>1147.8515100000004</v>
      </c>
      <c r="C64" s="69">
        <f>'Résultats détaillés'!$L$31</f>
        <v>1147.8515100000004</v>
      </c>
      <c r="D64" s="70">
        <f>'Résultats détaillés'!$L$31</f>
        <v>1147.8515100000004</v>
      </c>
      <c r="E64" s="70">
        <f t="shared" ref="E64:E70" si="4">AVERAGE(B64:D64)</f>
        <v>1147.8515100000004</v>
      </c>
      <c r="Q64" s="60" t="str">
        <f>'Résultats détaillés'!N31</f>
        <v>MG-SOYA</v>
      </c>
      <c r="R64" s="69">
        <f>'Résultats détaillés'!$Y$31</f>
        <v>1147.8515100000004</v>
      </c>
      <c r="S64" s="69">
        <f>'Résultats détaillés'!$Y$31</f>
        <v>1147.8515100000004</v>
      </c>
      <c r="T64" s="70">
        <f>'Résultats détaillés'!$Y$31</f>
        <v>1147.8515100000004</v>
      </c>
      <c r="U64" s="70">
        <f t="shared" ref="U64:U70" si="5">AVERAGE(R64:T64)</f>
        <v>1147.8515100000004</v>
      </c>
    </row>
    <row r="65" spans="1:21" x14ac:dyDescent="0.25">
      <c r="A65" s="61" t="str">
        <f>'Résultats détaillés'!A32</f>
        <v>MG-SOYA-BLÉ D'AUTOMNE PANIFIABLE</v>
      </c>
      <c r="B65" s="71">
        <f>AVERAGE('Résultats détaillés'!B32:D32)</f>
        <v>956.84337333333326</v>
      </c>
      <c r="C65" s="71">
        <f>AVERAGE('Résultats détaillés'!E32:G32)</f>
        <v>1114.7467359999998</v>
      </c>
      <c r="D65" s="72">
        <f>AVERAGE('Résultats détaillés'!H32:J32)</f>
        <v>1272.650098666667</v>
      </c>
      <c r="E65" s="72">
        <f t="shared" si="4"/>
        <v>1114.7467360000001</v>
      </c>
      <c r="Q65" s="61" t="str">
        <f>'Résultats détaillés'!N32</f>
        <v>MG-SOYA-BLÉ D'AUTOMNE PANIFIABLE</v>
      </c>
      <c r="R65" s="71">
        <f>AVERAGE('Résultats détaillés'!O32:Q32)</f>
        <v>956.84337333333326</v>
      </c>
      <c r="S65" s="71">
        <f>AVERAGE('Résultats détaillés'!R32:T32)</f>
        <v>1114.7467359999998</v>
      </c>
      <c r="T65" s="72">
        <f>AVERAGE('Résultats détaillés'!U32:W32)</f>
        <v>1272.650098666667</v>
      </c>
      <c r="U65" s="72">
        <f t="shared" si="5"/>
        <v>1114.7467360000001</v>
      </c>
    </row>
    <row r="66" spans="1:21" x14ac:dyDescent="0.25">
      <c r="A66" s="61" t="str">
        <f>'Résultats détaillés'!A33</f>
        <v>MG-SOYA-BLÉ DE PRINTEMPS PANIFIABLE</v>
      </c>
      <c r="B66" s="71">
        <f>AVERAGE('Résultats détaillés'!B33:D33)</f>
        <v>836.34047333333353</v>
      </c>
      <c r="C66" s="71">
        <f>AVERAGE('Résultats détaillés'!E33:G33)</f>
        <v>988.1444459999999</v>
      </c>
      <c r="D66" s="72">
        <f>AVERAGE('Résultats détaillés'!H33:J33)</f>
        <v>1139.9484186666671</v>
      </c>
      <c r="E66" s="72">
        <f t="shared" si="4"/>
        <v>988.14444600000024</v>
      </c>
      <c r="Q66" s="61" t="str">
        <f>'Résultats détaillés'!N33</f>
        <v>MG-SOYA-BLÉ DE PRINTEMPS PANIFIABLE</v>
      </c>
      <c r="R66" s="71">
        <f>AVERAGE('Résultats détaillés'!O33:Q33)</f>
        <v>836.34047333333353</v>
      </c>
      <c r="S66" s="71">
        <f>AVERAGE('Résultats détaillés'!R33:T33)</f>
        <v>988.1444459999999</v>
      </c>
      <c r="T66" s="72">
        <f>AVERAGE('Résultats détaillés'!U33:W33)</f>
        <v>1139.9484186666671</v>
      </c>
      <c r="U66" s="72">
        <f t="shared" si="5"/>
        <v>988.14444600000024</v>
      </c>
    </row>
    <row r="67" spans="1:21" x14ac:dyDescent="0.25">
      <c r="A67" s="61" t="str">
        <f>'Résultats détaillés'!A34</f>
        <v>MG-SOYA-ORGE</v>
      </c>
      <c r="B67" s="71">
        <f>AVERAGE('Résultats détaillés'!B34:D34)</f>
        <v>647.90314000000023</v>
      </c>
      <c r="C67" s="71">
        <f>AVERAGE('Résultats détaillés'!E34:G34)</f>
        <v>794.39235266666674</v>
      </c>
      <c r="D67" s="72">
        <f>AVERAGE('Résultats détaillés'!H34:J34)</f>
        <v>940.8815653333337</v>
      </c>
      <c r="E67" s="72">
        <f t="shared" si="4"/>
        <v>794.39235266666685</v>
      </c>
      <c r="Q67" s="61" t="str">
        <f>'Résultats détaillés'!N34</f>
        <v>MG-SOYA-ORGE</v>
      </c>
      <c r="R67" s="71">
        <f>AVERAGE('Résultats détaillés'!O34:Q34)</f>
        <v>647.90314000000023</v>
      </c>
      <c r="S67" s="71">
        <f>AVERAGE('Résultats détaillés'!R34:T34)</f>
        <v>794.39235266666674</v>
      </c>
      <c r="T67" s="72">
        <f>AVERAGE('Résultats détaillés'!U34:W34)</f>
        <v>940.8815653333337</v>
      </c>
      <c r="U67" s="72">
        <f t="shared" si="5"/>
        <v>794.39235266666685</v>
      </c>
    </row>
    <row r="68" spans="1:21" x14ac:dyDescent="0.25">
      <c r="A68" s="61" t="str">
        <f>'Résultats détaillés'!A35</f>
        <v>MG-SOYA-AVOINE</v>
      </c>
      <c r="B68" s="71">
        <f>AVERAGE('Résultats détaillés'!B35:D35)</f>
        <v>657.36484000000019</v>
      </c>
      <c r="C68" s="71">
        <f>AVERAGE('Résultats détaillés'!E35:G35)</f>
        <v>799.96049266666671</v>
      </c>
      <c r="D68" s="72">
        <f>AVERAGE('Résultats détaillés'!H35:J35)</f>
        <v>942.5561453333338</v>
      </c>
      <c r="E68" s="72">
        <f t="shared" si="4"/>
        <v>799.96049266666694</v>
      </c>
      <c r="Q68" s="61" t="str">
        <f>'Résultats détaillés'!N35</f>
        <v>MG-SOYA-AVOINE</v>
      </c>
      <c r="R68" s="71">
        <f>AVERAGE('Résultats détaillés'!O35:Q35)</f>
        <v>657.36484000000019</v>
      </c>
      <c r="S68" s="71">
        <f>AVERAGE('Résultats détaillés'!R35:T35)</f>
        <v>799.96049266666671</v>
      </c>
      <c r="T68" s="72">
        <f>AVERAGE('Résultats détaillés'!U35:W35)</f>
        <v>942.5561453333338</v>
      </c>
      <c r="U68" s="72">
        <f t="shared" si="5"/>
        <v>799.96049266666694</v>
      </c>
    </row>
    <row r="69" spans="1:21" x14ac:dyDescent="0.25">
      <c r="A69" s="61" t="str">
        <f>'Résultats détaillés'!A36</f>
        <v>MG-SOYA-SEIGLE</v>
      </c>
      <c r="B69" s="71">
        <f>AVERAGE('Résultats détaillés'!B36:D36)</f>
        <v>800.93104000000005</v>
      </c>
      <c r="C69" s="71">
        <f>AVERAGE('Résultats détaillés'!E36:G36)</f>
        <v>946.03663600000016</v>
      </c>
      <c r="D69" s="72">
        <f>AVERAGE('Résultats détaillés'!H36:J36)</f>
        <v>1091.1422320000004</v>
      </c>
      <c r="E69" s="72">
        <f t="shared" si="4"/>
        <v>946.03663600000016</v>
      </c>
      <c r="Q69" s="61" t="str">
        <f>'Résultats détaillés'!N36</f>
        <v>MG-SOYA-SEIGLE</v>
      </c>
      <c r="R69" s="71">
        <f>AVERAGE('Résultats détaillés'!O36:Q36)</f>
        <v>800.93104000000005</v>
      </c>
      <c r="S69" s="71">
        <f>AVERAGE('Résultats détaillés'!R36:T36)</f>
        <v>946.03663600000016</v>
      </c>
      <c r="T69" s="72">
        <f>AVERAGE('Résultats détaillés'!U36:W36)</f>
        <v>1091.1422320000004</v>
      </c>
      <c r="U69" s="72">
        <f t="shared" si="5"/>
        <v>946.03663600000016</v>
      </c>
    </row>
    <row r="70" spans="1:21" x14ac:dyDescent="0.25">
      <c r="A70" s="62" t="str">
        <f>'Résultats détaillés'!A37</f>
        <v>MG-SOYA-SEIGLE HYBRIDE D'AUTOMNE</v>
      </c>
      <c r="B70" s="73">
        <f>AVERAGE('Résultats détaillés'!B37:D37)</f>
        <v>1011.8840066666668</v>
      </c>
      <c r="C70" s="73">
        <f>AVERAGE('Résultats détaillés'!E37:G37)</f>
        <v>1168.5762693333334</v>
      </c>
      <c r="D70" s="74">
        <f>AVERAGE('Résultats détaillés'!H37:J37)</f>
        <v>1325.2685320000005</v>
      </c>
      <c r="E70" s="74">
        <f t="shared" si="4"/>
        <v>1168.5762693333336</v>
      </c>
      <c r="Q70" s="62" t="str">
        <f>'Résultats détaillés'!N37</f>
        <v>MG-SOYA-SEIGLE HYBRIDE D'AUTOMNE</v>
      </c>
      <c r="R70" s="73">
        <f>AVERAGE('Résultats détaillés'!O37:Q37)</f>
        <v>1011.8840066666668</v>
      </c>
      <c r="S70" s="73">
        <f>AVERAGE('Résultats détaillés'!R37:T37)</f>
        <v>1168.5762693333334</v>
      </c>
      <c r="T70" s="73">
        <f>AVERAGE('Résultats détaillés'!U37:W37)</f>
        <v>1325.2685320000005</v>
      </c>
      <c r="U70" s="74">
        <f t="shared" si="5"/>
        <v>1168.5762693333336</v>
      </c>
    </row>
  </sheetData>
  <mergeCells count="6">
    <mergeCell ref="A1:E1"/>
    <mergeCell ref="A30:E30"/>
    <mergeCell ref="A62:E62"/>
    <mergeCell ref="Q1:U1"/>
    <mergeCell ref="Q30:U30"/>
    <mergeCell ref="Q62:U6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235C37FF0B7BF40A469807B3557D740" ma:contentTypeVersion="16" ma:contentTypeDescription="Crée un document." ma:contentTypeScope="" ma:versionID="a5e1e57425f9831ac689da1a6aed8b6a">
  <xsd:schema xmlns:xsd="http://www.w3.org/2001/XMLSchema" xmlns:xs="http://www.w3.org/2001/XMLSchema" xmlns:p="http://schemas.microsoft.com/office/2006/metadata/properties" xmlns:ns2="b9bbbdfe-e28d-4400-a787-fa8689654ece" xmlns:ns3="b995caa8-c599-465c-85e6-d061a0aa3d29" targetNamespace="http://schemas.microsoft.com/office/2006/metadata/properties" ma:root="true" ma:fieldsID="b8af965f957082030aafaeea9a3e1eb1" ns2:_="" ns3:_="">
    <xsd:import namespace="b9bbbdfe-e28d-4400-a787-fa8689654ece"/>
    <xsd:import namespace="b995caa8-c599-465c-85e6-d061a0aa3d29"/>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bbbdfe-e28d-4400-a787-fa8689654e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Length (seconds)"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3e165e1e-8df5-4a15-b652-d937b5ab2de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995caa8-c599-465c-85e6-d061a0aa3d29"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0efd461-0863-4a5d-8e34-26da13f49d40}" ma:internalName="TaxCatchAll" ma:showField="CatchAllData" ma:web="b995caa8-c599-465c-85e6-d061a0aa3d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572497-3E0C-4EED-B8B1-0343759332CB}">
  <ds:schemaRefs>
    <ds:schemaRef ds:uri="http://schemas.microsoft.com/sharepoint/v3/contenttype/forms"/>
  </ds:schemaRefs>
</ds:datastoreItem>
</file>

<file path=customXml/itemProps2.xml><?xml version="1.0" encoding="utf-8"?>
<ds:datastoreItem xmlns:ds="http://schemas.openxmlformats.org/officeDocument/2006/customXml" ds:itemID="{C7C8E1C9-335C-477D-8D9A-9B57346F5E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bbbdfe-e28d-4400-a787-fa8689654ece"/>
    <ds:schemaRef ds:uri="b995caa8-c599-465c-85e6-d061a0aa3d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18</vt:i4>
      </vt:variant>
      <vt:variant>
        <vt:lpstr>Plages nommées</vt:lpstr>
      </vt:variant>
      <vt:variant>
        <vt:i4>4</vt:i4>
      </vt:variant>
    </vt:vector>
  </HeadingPairs>
  <TitlesOfParts>
    <vt:vector size="22" baseType="lpstr">
      <vt:lpstr>GuideUtilisation</vt:lpstr>
      <vt:lpstr>Saisies</vt:lpstr>
      <vt:lpstr>Gains agronomiques</vt:lpstr>
      <vt:lpstr>Maïs-grain</vt:lpstr>
      <vt:lpstr>Soya</vt:lpstr>
      <vt:lpstr>Orge</vt:lpstr>
      <vt:lpstr>Avoine</vt:lpstr>
      <vt:lpstr>Blé_d'automne</vt:lpstr>
      <vt:lpstr>Blé_printemps</vt:lpstr>
      <vt:lpstr>Seigle</vt:lpstr>
      <vt:lpstr>Seigle_hybride</vt:lpstr>
      <vt:lpstr>Cultures de couverture</vt:lpstr>
      <vt:lpstr>ASRA_Calculs</vt:lpstr>
      <vt:lpstr>Rendements_CECPA</vt:lpstr>
      <vt:lpstr>Prix_CECPA</vt:lpstr>
      <vt:lpstr>Intermédiaire_Prod-Résultats</vt:lpstr>
      <vt:lpstr>Résultats détaillés</vt:lpstr>
      <vt:lpstr>Résultats sommaires</vt:lpstr>
      <vt:lpstr>Prix</vt:lpstr>
      <vt:lpstr>Prix_Titre</vt:lpstr>
      <vt:lpstr>Rend</vt:lpstr>
      <vt:lpstr>Rend_Titre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doria</dc:creator>
  <cp:lastModifiedBy>Rolande Bicaba</cp:lastModifiedBy>
  <cp:lastPrinted>2022-08-23T13:06:14Z</cp:lastPrinted>
  <dcterms:created xsi:type="dcterms:W3CDTF">2022-08-16T13:44:10Z</dcterms:created>
  <dcterms:modified xsi:type="dcterms:W3CDTF">2023-02-24T20:33:38Z</dcterms:modified>
</cp:coreProperties>
</file>